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Sites\business-division-elections\documentLibrary\2022 Statewide Primary\"/>
    </mc:Choice>
  </mc:AlternateContent>
  <xr:revisionPtr revIDLastSave="0" documentId="13_ncr:1_{9E17AFAC-ACC0-40DE-9264-D3D22802EA48}" xr6:coauthVersionLast="46" xr6:coauthVersionMax="46" xr10:uidLastSave="{00000000-0000-0000-0000-000000000000}"/>
  <bookViews>
    <workbookView xWindow="-27945" yWindow="1575" windowWidth="21600" windowHeight="11295" xr2:uid="{00000000-000D-0000-FFFF-FFFF00000000}"/>
  </bookViews>
  <sheets>
    <sheet name="Candidate Lis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3" i="1" l="1"/>
  <c r="N51" i="1"/>
  <c r="N29" i="1"/>
  <c r="N99" i="1"/>
  <c r="N97" i="1"/>
  <c r="N96" i="1"/>
  <c r="N100" i="1"/>
  <c r="N95" i="1"/>
  <c r="N221" i="1"/>
  <c r="N304" i="1"/>
  <c r="N253" i="1"/>
  <c r="N87" i="1"/>
  <c r="N82" i="1"/>
  <c r="N81" i="1"/>
  <c r="N80" i="1"/>
  <c r="N77" i="1"/>
  <c r="N79" i="1"/>
  <c r="N78" i="1"/>
  <c r="N223" i="1"/>
  <c r="N313" i="1"/>
  <c r="N236" i="1" l="1"/>
  <c r="N41" i="1"/>
  <c r="N32" i="1"/>
  <c r="N204" i="1"/>
  <c r="N203" i="1"/>
  <c r="N205" i="1"/>
  <c r="N240" i="1"/>
  <c r="N239" i="1"/>
  <c r="N279" i="1"/>
  <c r="N19" i="1"/>
  <c r="N26" i="1"/>
  <c r="N38" i="1"/>
  <c r="N34" i="1"/>
  <c r="N20" i="1"/>
  <c r="N114" i="1"/>
  <c r="N308" i="1"/>
  <c r="N282" i="1"/>
  <c r="N265" i="1"/>
  <c r="N129" i="1"/>
  <c r="N116" i="1"/>
  <c r="N261" i="1"/>
  <c r="N104" i="1"/>
  <c r="N191" i="1"/>
  <c r="N190" i="1"/>
  <c r="N193" i="1"/>
  <c r="N192" i="1"/>
  <c r="N65" i="1"/>
  <c r="N68" i="1"/>
  <c r="N66" i="1"/>
  <c r="N85" i="1"/>
  <c r="N69" i="1"/>
  <c r="N67" i="1"/>
  <c r="N28" i="1"/>
  <c r="N24" i="1"/>
  <c r="N320" i="1"/>
  <c r="N219" i="1"/>
  <c r="N218" i="1"/>
  <c r="N209" i="1"/>
  <c r="N208" i="1"/>
  <c r="N49" i="1"/>
  <c r="N64" i="1"/>
  <c r="N55" i="1"/>
  <c r="N53" i="1"/>
  <c r="N50" i="1"/>
  <c r="N296" i="1"/>
  <c r="N293" i="1"/>
  <c r="N288" i="1"/>
  <c r="N285" i="1"/>
  <c r="N266" i="1"/>
  <c r="N267" i="1"/>
  <c r="N251" i="1"/>
  <c r="N242" i="1"/>
  <c r="N234" i="1"/>
  <c r="N228" i="1"/>
  <c r="N226" i="1"/>
  <c r="N233" i="1"/>
  <c r="N222" i="1"/>
  <c r="N214" i="1"/>
  <c r="N211" i="1"/>
  <c r="N207" i="1"/>
  <c r="N198" i="1"/>
  <c r="N197" i="1"/>
  <c r="N195" i="1"/>
  <c r="N184" i="1"/>
  <c r="N145" i="1"/>
  <c r="N180" i="1"/>
  <c r="N176" i="1"/>
  <c r="N171" i="1"/>
  <c r="N168" i="1"/>
  <c r="N125" i="1"/>
  <c r="N113" i="1"/>
  <c r="N107" i="1"/>
  <c r="N75" i="1"/>
  <c r="N70" i="1"/>
  <c r="N22" i="1"/>
  <c r="N21" i="1"/>
  <c r="N274" i="1"/>
  <c r="N318" i="1"/>
  <c r="N316" i="1"/>
  <c r="N314" i="1"/>
  <c r="N312" i="1"/>
  <c r="N311" i="1"/>
  <c r="N303" i="1"/>
  <c r="N297" i="1"/>
  <c r="N284" i="1"/>
  <c r="N276" i="1"/>
  <c r="N275" i="1"/>
  <c r="N263" i="1"/>
  <c r="N258" i="1"/>
  <c r="N244" i="1"/>
  <c r="N227" i="1"/>
  <c r="N229" i="1"/>
  <c r="N215" i="1"/>
  <c r="N151" i="1"/>
  <c r="N150" i="1"/>
  <c r="N146" i="1"/>
  <c r="N144" i="1"/>
  <c r="N143" i="1"/>
  <c r="N170" i="1"/>
  <c r="N169" i="1"/>
  <c r="N167" i="1"/>
  <c r="N165" i="1"/>
  <c r="N164" i="1"/>
  <c r="N163" i="1"/>
  <c r="N162" i="1"/>
  <c r="N161" i="1"/>
  <c r="N159" i="1"/>
  <c r="N158" i="1"/>
  <c r="N157" i="1"/>
  <c r="N152" i="1"/>
  <c r="N137" i="1"/>
  <c r="N131" i="1"/>
  <c r="N124" i="1"/>
  <c r="N120" i="1"/>
  <c r="N119" i="1"/>
  <c r="N102" i="1"/>
  <c r="N101" i="1"/>
  <c r="N103" i="1"/>
  <c r="N92" i="1"/>
  <c r="N91" i="1"/>
  <c r="N88" i="1"/>
  <c r="N86" i="1"/>
  <c r="N83" i="1"/>
  <c r="N74" i="1"/>
  <c r="N62" i="1"/>
  <c r="N56" i="1"/>
  <c r="N54" i="1"/>
  <c r="N52" i="1"/>
  <c r="N46" i="1"/>
  <c r="N45" i="1"/>
  <c r="N31" i="1"/>
  <c r="N39" i="1"/>
  <c r="N291" i="1"/>
  <c r="N289" i="1"/>
  <c r="N257" i="1"/>
  <c r="N249" i="1"/>
  <c r="N247" i="1"/>
  <c r="N256" i="1"/>
  <c r="N255" i="1"/>
  <c r="N241" i="1"/>
  <c r="N238" i="1"/>
  <c r="N231" i="1"/>
  <c r="N216" i="1"/>
  <c r="N202" i="1"/>
  <c r="N194" i="1"/>
  <c r="N189" i="1"/>
  <c r="N187" i="1"/>
  <c r="N185" i="1"/>
  <c r="N183" i="1"/>
  <c r="N134" i="1"/>
  <c r="N133" i="1"/>
  <c r="N112" i="1"/>
  <c r="N108" i="1"/>
  <c r="N73" i="1"/>
  <c r="N27" i="1"/>
  <c r="N310" i="1"/>
  <c r="N302" i="1"/>
  <c r="N301" i="1"/>
  <c r="N300" i="1"/>
  <c r="N298" i="1"/>
  <c r="N281" i="1"/>
  <c r="N280" i="1"/>
  <c r="N277" i="1"/>
  <c r="N246" i="1"/>
  <c r="N224" i="1"/>
  <c r="N217" i="1"/>
  <c r="N210" i="1"/>
  <c r="N201" i="1"/>
  <c r="N149" i="1"/>
  <c r="N142" i="1"/>
  <c r="N141" i="1"/>
  <c r="N177" i="1"/>
  <c r="N173" i="1"/>
  <c r="N172" i="1"/>
  <c r="N139" i="1"/>
  <c r="N160" i="1"/>
  <c r="N138" i="1"/>
  <c r="N135" i="1"/>
  <c r="N130" i="1"/>
  <c r="N126" i="1"/>
  <c r="N123" i="1"/>
  <c r="N122" i="1"/>
  <c r="N115" i="1"/>
  <c r="N63" i="1"/>
  <c r="N61" i="1"/>
  <c r="N48" i="1"/>
  <c r="N35" i="1"/>
  <c r="N295" i="1"/>
  <c r="N294" i="1"/>
  <c r="N250" i="1"/>
  <c r="N237" i="1"/>
  <c r="N225" i="1"/>
  <c r="N188" i="1"/>
  <c r="N148" i="1"/>
  <c r="N156" i="1"/>
  <c r="N155" i="1"/>
  <c r="N117" i="1"/>
  <c r="N111" i="1"/>
  <c r="N105" i="1"/>
  <c r="N47" i="1"/>
  <c r="N33" i="1"/>
  <c r="N269" i="1"/>
  <c r="N230" i="1"/>
  <c r="N232" i="1"/>
  <c r="N206" i="1"/>
  <c r="N196" i="1"/>
  <c r="N186" i="1"/>
  <c r="N315" i="1"/>
  <c r="N305" i="1"/>
  <c r="N273" i="1"/>
  <c r="N271" i="1"/>
  <c r="N270" i="1"/>
  <c r="N71" i="1"/>
  <c r="N182" i="1"/>
  <c r="N57" i="1"/>
  <c r="N264" i="1"/>
  <c r="N140" i="1"/>
  <c r="N306" i="1"/>
  <c r="N213" i="1"/>
  <c r="N212" i="1"/>
  <c r="N44" i="1"/>
  <c r="N307" i="1"/>
  <c r="N200" i="1"/>
  <c r="N72" i="1"/>
  <c r="N43" i="1"/>
  <c r="N40" i="1"/>
  <c r="N36" i="1"/>
  <c r="N30" i="1"/>
  <c r="N262" i="1"/>
  <c r="N220" i="1"/>
  <c r="N147" i="1"/>
  <c r="N106" i="1"/>
  <c r="N42" i="1"/>
  <c r="N317" i="1"/>
  <c r="N319" i="1"/>
  <c r="N309" i="1"/>
  <c r="N299" i="1"/>
  <c r="N292" i="1"/>
  <c r="N290" i="1"/>
  <c r="N286" i="1"/>
  <c r="N283" i="1"/>
  <c r="N278" i="1"/>
  <c r="N268" i="1"/>
  <c r="N260" i="1"/>
  <c r="N254" i="1"/>
  <c r="N252" i="1"/>
  <c r="N181" i="1"/>
  <c r="N179" i="1"/>
  <c r="N178" i="1"/>
  <c r="N175" i="1"/>
  <c r="N174" i="1"/>
  <c r="N166" i="1"/>
  <c r="N154" i="1"/>
  <c r="N118" i="1"/>
  <c r="N110" i="1"/>
  <c r="N89" i="1"/>
  <c r="N76" i="1"/>
  <c r="N60" i="1"/>
  <c r="N59" i="1"/>
  <c r="N58" i="1"/>
  <c r="N37" i="1"/>
  <c r="N90" i="1"/>
  <c r="N25" i="1"/>
  <c r="N23" i="1"/>
</calcChain>
</file>

<file path=xl/sharedStrings.xml><?xml version="1.0" encoding="utf-8"?>
<sst xmlns="http://schemas.openxmlformats.org/spreadsheetml/2006/main" count="5196" uniqueCount="2226">
  <si>
    <t>Contest</t>
  </si>
  <si>
    <t>District Name</t>
  </si>
  <si>
    <t>Name On Ballot</t>
  </si>
  <si>
    <t>Town Of Residence</t>
  </si>
  <si>
    <t>Party</t>
  </si>
  <si>
    <t>Address</t>
  </si>
  <si>
    <t>City</t>
  </si>
  <si>
    <t>State</t>
  </si>
  <si>
    <t>Zip</t>
  </si>
  <si>
    <t>Day Time Phone</t>
  </si>
  <si>
    <t>Evening Phone</t>
  </si>
  <si>
    <t>Email</t>
  </si>
  <si>
    <t>Website</t>
  </si>
  <si>
    <t xml:space="preserve">Qualified Candidates for the Statewide Primary- August 9, 2022 </t>
  </si>
  <si>
    <t>STATE REPRESENTATIVE</t>
  </si>
  <si>
    <t>CHI 25</t>
  </si>
  <si>
    <t>JULIA ANDREWS</t>
  </si>
  <si>
    <t>WESTFORD</t>
  </si>
  <si>
    <t>DEMOCRATIC</t>
  </si>
  <si>
    <t>PO BOX 33</t>
  </si>
  <si>
    <t>VT</t>
  </si>
  <si>
    <t>05494</t>
  </si>
  <si>
    <t>(802) 324-9273</t>
  </si>
  <si>
    <t/>
  </si>
  <si>
    <t>JULIA@ANDREWSFORVERMONT.COM</t>
  </si>
  <si>
    <t>WWW.ANDREWSFORVERMONT.COM</t>
  </si>
  <si>
    <t>WDH 3</t>
  </si>
  <si>
    <t>MICHELLE BOS-LUN</t>
  </si>
  <si>
    <t>WESTMINSTER</t>
  </si>
  <si>
    <t>94 CCC RD</t>
  </si>
  <si>
    <t>05158</t>
  </si>
  <si>
    <t>MICHELLEFORVT@GMAIL.COM</t>
  </si>
  <si>
    <t>LESLIE GOLDMAN</t>
  </si>
  <si>
    <t>ROCKINGHAM</t>
  </si>
  <si>
    <t>570 ROCKINGHAM HILL RD</t>
  </si>
  <si>
    <t>BELLOWS FALLS</t>
  </si>
  <si>
    <t>05101</t>
  </si>
  <si>
    <t>ASSISTANT JUDGE</t>
  </si>
  <si>
    <t>CHITTENDEN</t>
  </si>
  <si>
    <t>SUZANNE BROWN</t>
  </si>
  <si>
    <t>SOUTH BURLINGTON</t>
  </si>
  <si>
    <t>240 FAIRWAY DR</t>
  </si>
  <si>
    <t>05403</t>
  </si>
  <si>
    <t>(802) 864-3596</t>
  </si>
  <si>
    <t>SUZANNEBROWNESQ@GMAIL.COM</t>
  </si>
  <si>
    <t>CONNIE CAIN RAMSEY</t>
  </si>
  <si>
    <t>BURLINGTON</t>
  </si>
  <si>
    <t>221 CRESCENT BEACH DR</t>
  </si>
  <si>
    <t>05408</t>
  </si>
  <si>
    <t>(802) 777-4056</t>
  </si>
  <si>
    <t>CONNIE.CAIN.RAMSEY@GMAIL.COM</t>
  </si>
  <si>
    <t>CONNIEFORASSISTANTJUDGE.COM</t>
  </si>
  <si>
    <t>GRAND ISLE</t>
  </si>
  <si>
    <t>SHERRI POTVIN</t>
  </si>
  <si>
    <t>NORTH HERO</t>
  </si>
  <si>
    <t>317 OLD WEST SHORE RD</t>
  </si>
  <si>
    <t>05474</t>
  </si>
  <si>
    <t>(802) 999-2663</t>
  </si>
  <si>
    <t>SHERRI.POTVIN@VERMONT.GOV</t>
  </si>
  <si>
    <t>STATE'S ATTORNEY</t>
  </si>
  <si>
    <t>DOUGLAS DISABITO</t>
  </si>
  <si>
    <t>ALBURGH</t>
  </si>
  <si>
    <t>111 BORDER RD</t>
  </si>
  <si>
    <t>05440</t>
  </si>
  <si>
    <t>(802) 372-7505</t>
  </si>
  <si>
    <t>MALEEVA13@YAHOO.COM</t>
  </si>
  <si>
    <t>SHERIFF</t>
  </si>
  <si>
    <t>RAY C. ALLEN</t>
  </si>
  <si>
    <t>SOUTH HERO</t>
  </si>
  <si>
    <t>10 ISLAND CIRCLE</t>
  </si>
  <si>
    <t>05458</t>
  </si>
  <si>
    <t>(802) 372-4482</t>
  </si>
  <si>
    <t>RAY.ALLEN@VERMONT.GOV</t>
  </si>
  <si>
    <t>ORL 4</t>
  </si>
  <si>
    <t>JOHN COURCHAINE</t>
  </si>
  <si>
    <t>CRAFTSBURY</t>
  </si>
  <si>
    <t>REPUBLICAN</t>
  </si>
  <si>
    <t>625 CREEK RD</t>
  </si>
  <si>
    <t>CRAFTSBURY COMMON</t>
  </si>
  <si>
    <t>05827</t>
  </si>
  <si>
    <t>(802) 586-2427</t>
  </si>
  <si>
    <t>JOHNCOURCHAINE@GMAIL.COM</t>
  </si>
  <si>
    <t>JOANNE BATCHELDER</t>
  </si>
  <si>
    <t>8369 US ROUTE 2</t>
  </si>
  <si>
    <t>(802) 372-1727</t>
  </si>
  <si>
    <t>JOANNE.BATCHELDER@VERMONT.GOV</t>
  </si>
  <si>
    <t>SECRETARY OF STATE</t>
  </si>
  <si>
    <t>CHRIS WINTERS</t>
  </si>
  <si>
    <t>BERLIN</t>
  </si>
  <si>
    <t>PO BOX 24</t>
  </si>
  <si>
    <t>MONTPELIER</t>
  </si>
  <si>
    <t>05601</t>
  </si>
  <si>
    <t>(802) 261-0387</t>
  </si>
  <si>
    <t>WINTERSVERMONT@GMAIL.COM</t>
  </si>
  <si>
    <t>WINTERSFORVERMONT.COM</t>
  </si>
  <si>
    <t>WINDSOR</t>
  </si>
  <si>
    <t>RYAN PALMER</t>
  </si>
  <si>
    <t>33 MAIN ST</t>
  </si>
  <si>
    <t>05089</t>
  </si>
  <si>
    <t>(603) 381-9800</t>
  </si>
  <si>
    <t>RYAN@RYANFORWINDSOR.COM</t>
  </si>
  <si>
    <t>WWW.RYANFORWINDSOR.COM</t>
  </si>
  <si>
    <t>CHI 12</t>
  </si>
  <si>
    <t>MARTIN LALONDE</t>
  </si>
  <si>
    <t>304 FOUR SISTERS RD</t>
  </si>
  <si>
    <t>(802) 863-3086</t>
  </si>
  <si>
    <t>MARTINLALONDEVT@GMAIL.COM</t>
  </si>
  <si>
    <t>MARTINLALONDEVT.COM</t>
  </si>
  <si>
    <t>ORLEANS</t>
  </si>
  <si>
    <t>BENJAMIN M. BATCHELDER</t>
  </si>
  <si>
    <t>DERBY</t>
  </si>
  <si>
    <t>144 BATCHELDER DR.</t>
  </si>
  <si>
    <t>05829</t>
  </si>
  <si>
    <t>(802) 323-6501</t>
  </si>
  <si>
    <t>FBBATCH@COMCAST.NET</t>
  </si>
  <si>
    <t>WAS ORA</t>
  </si>
  <si>
    <t>FRANCIS "TOPPER" MCFAUN</t>
  </si>
  <si>
    <t>BARRE TOWN</t>
  </si>
  <si>
    <t>97 SUNSET RD</t>
  </si>
  <si>
    <t>05641</t>
  </si>
  <si>
    <t>(802) 522-7530</t>
  </si>
  <si>
    <t>TOPPERMCFAUN@AOL.COM</t>
  </si>
  <si>
    <t>LIEUTENANT GOVERNOR</t>
  </si>
  <si>
    <t>JOE BENNING</t>
  </si>
  <si>
    <t>LYNDON</t>
  </si>
  <si>
    <t>PO BOX 142</t>
  </si>
  <si>
    <t>LYNDONVILLE</t>
  </si>
  <si>
    <t>05851</t>
  </si>
  <si>
    <t>(802) 274-1346</t>
  </si>
  <si>
    <t>BEANER77@MYFAIRPOINT.NET</t>
  </si>
  <si>
    <t>JOEBENNING.COM</t>
  </si>
  <si>
    <t>STATE SENATOR</t>
  </si>
  <si>
    <t>WDH 1</t>
  </si>
  <si>
    <t>RICHARD "RICK" KENYON</t>
  </si>
  <si>
    <t>BRATTLEBORO</t>
  </si>
  <si>
    <t>175 UPPER DUMMERSTON RD</t>
  </si>
  <si>
    <t>05301</t>
  </si>
  <si>
    <t>(802) 257-4705</t>
  </si>
  <si>
    <t>RICK@RKTAXPREP.COM</t>
  </si>
  <si>
    <t>RICHARD "RICK" MORTON</t>
  </si>
  <si>
    <t>1089 MARLBORO ROAD</t>
  </si>
  <si>
    <t>(802) 257-2780</t>
  </si>
  <si>
    <t>MORTON4VTREP@COMCAST.NET</t>
  </si>
  <si>
    <t>WINDHAM</t>
  </si>
  <si>
    <t>LAMONT BARNETT</t>
  </si>
  <si>
    <t>(802) 376-5589</t>
  </si>
  <si>
    <t>802LAMONT@GMAIL.COM</t>
  </si>
  <si>
    <t xml:space="preserve">195 MISSING LINK RD </t>
  </si>
  <si>
    <t>WDR WDH</t>
  </si>
  <si>
    <t>HEATHER CHASE</t>
  </si>
  <si>
    <t>CHESTER</t>
  </si>
  <si>
    <t>1712 GREEN MOUNTAIN TPKE</t>
  </si>
  <si>
    <t>05143</t>
  </si>
  <si>
    <t>(802) 875-4663</t>
  </si>
  <si>
    <t>HEATHER4THEHOUSE@GMAIL.COM</t>
  </si>
  <si>
    <t>WAS 3</t>
  </si>
  <si>
    <t>JONATHAN WILLIAMS</t>
  </si>
  <si>
    <t>BARRE CITY</t>
  </si>
  <si>
    <t>8 MARCELL AVE</t>
  </si>
  <si>
    <t>(802) 222-1656</t>
  </si>
  <si>
    <t>JONATHAN@FORBARRE.COM</t>
  </si>
  <si>
    <t>WWW.FORBARRE.COM</t>
  </si>
  <si>
    <t>THOMAS P. BATTISTA</t>
  </si>
  <si>
    <t>SPRINGFIELD</t>
  </si>
  <si>
    <t>98 SUMMER HILL ST</t>
  </si>
  <si>
    <t>05156</t>
  </si>
  <si>
    <t>(802) 885-9784</t>
  </si>
  <si>
    <t>THOMASBATTISTAWINDSORSHERIFF@GMAIL.COM</t>
  </si>
  <si>
    <t>WWW.THOMASFORWINDSORSHERIFF.COM</t>
  </si>
  <si>
    <t>REPRESENTATIVE TO CONGRESS</t>
  </si>
  <si>
    <t>LOUIS MEYERS</t>
  </si>
  <si>
    <t>13 LEXINGTON GRN</t>
  </si>
  <si>
    <t>(802) 922-1928</t>
  </si>
  <si>
    <t>LOUISMEYERS1@GMAIL.COM</t>
  </si>
  <si>
    <t>LOUISMEYERSFORCONGRESS.COM</t>
  </si>
  <si>
    <t>BEN 2</t>
  </si>
  <si>
    <t>TIMOTHY R. CORCORAN II</t>
  </si>
  <si>
    <t>BENNINGTON</t>
  </si>
  <si>
    <t>8 COREY LN</t>
  </si>
  <si>
    <t>05201</t>
  </si>
  <si>
    <t>RUT 9</t>
  </si>
  <si>
    <t>STEPHANIE Z. JEROME</t>
  </si>
  <si>
    <t>BRANDON</t>
  </si>
  <si>
    <t>PO BOX 65</t>
  </si>
  <si>
    <t>05733</t>
  </si>
  <si>
    <t>(802) 683-8209</t>
  </si>
  <si>
    <t>STEPHANIEJEROMEVT@GMAIL.COM</t>
  </si>
  <si>
    <t>WWW.STEPHANIEJEROMEVT.COM</t>
  </si>
  <si>
    <t>MARK R. ANDERSON</t>
  </si>
  <si>
    <t>198 GREENLEAF ST</t>
  </si>
  <si>
    <t>MARK.ANDERSON.WINDHAM@GMAIL.COM</t>
  </si>
  <si>
    <t>MARKANDERSONSHERIFF.ORG</t>
  </si>
  <si>
    <t>PROBATE JUDGE</t>
  </si>
  <si>
    <t>FREDERICK M. GLOVER</t>
  </si>
  <si>
    <t>LUDLOW</t>
  </si>
  <si>
    <t>40 SUNBERRY LN</t>
  </si>
  <si>
    <t>05149</t>
  </si>
  <si>
    <t>(802) 228-2103</t>
  </si>
  <si>
    <t>TFGLOVER@TDS.NET</t>
  </si>
  <si>
    <t>RUT 4</t>
  </si>
  <si>
    <t>PAUL CLIFFORD</t>
  </si>
  <si>
    <t>RUTLAND CITY</t>
  </si>
  <si>
    <t>42 HILLCREST RD</t>
  </si>
  <si>
    <t>05701</t>
  </si>
  <si>
    <t>(802) 342-1950</t>
  </si>
  <si>
    <t>PGCLIFFORD44@GMAIL.COM</t>
  </si>
  <si>
    <t>(802) 289-2495</t>
  </si>
  <si>
    <t>WAS 6</t>
  </si>
  <si>
    <t>MARC B. MIHALY</t>
  </si>
  <si>
    <t>CALAIS</t>
  </si>
  <si>
    <t>PO BOX 119</t>
  </si>
  <si>
    <t>EAST CALAIS</t>
  </si>
  <si>
    <t>05650</t>
  </si>
  <si>
    <t>(330) 426-9225</t>
  </si>
  <si>
    <t>(802) 454-1070</t>
  </si>
  <si>
    <t>MARK@MIHALY.ORG</t>
  </si>
  <si>
    <t>ORANGE</t>
  </si>
  <si>
    <t>JOYCE MCKEEMAN</t>
  </si>
  <si>
    <t>CORINTH</t>
  </si>
  <si>
    <t>513 ROUND HOUSE ROAD</t>
  </si>
  <si>
    <t>05039</t>
  </si>
  <si>
    <t>(802) 439-5280</t>
  </si>
  <si>
    <t>MCKEEMANVT@GMAIL.COM</t>
  </si>
  <si>
    <t>RUTLAND</t>
  </si>
  <si>
    <t>IAN SULLIVAN</t>
  </si>
  <si>
    <t>PITTSFIELD</t>
  </si>
  <si>
    <t>P O BOX 794</t>
  </si>
  <si>
    <t>05762</t>
  </si>
  <si>
    <t>(802) 922-1747</t>
  </si>
  <si>
    <t>IANSULLIVANFORRUTLAND@GMAIL.COM</t>
  </si>
  <si>
    <t>HIGH BAILIFF</t>
  </si>
  <si>
    <t>FRANKLIN</t>
  </si>
  <si>
    <t>ROBERTA "BOBBIE" ALLARD</t>
  </si>
  <si>
    <t>SAINT ALBANS TOWN</t>
  </si>
  <si>
    <t>P.O. BOX 918</t>
  </si>
  <si>
    <t>ST. ALBANS</t>
  </si>
  <si>
    <t>05478</t>
  </si>
  <si>
    <t>BEN 3</t>
  </si>
  <si>
    <t>VICTOR K. HARWOOD JR</t>
  </si>
  <si>
    <t>SHAFTSBURY</t>
  </si>
  <si>
    <t>187 EHRICH RD</t>
  </si>
  <si>
    <t>05262</t>
  </si>
  <si>
    <t>(757) 376-0774</t>
  </si>
  <si>
    <t>(802) 442-4344</t>
  </si>
  <si>
    <t>SQUID52@EARTHLINK.NET</t>
  </si>
  <si>
    <t>BILL BOHNYAK</t>
  </si>
  <si>
    <t>RANDOLPH</t>
  </si>
  <si>
    <t>960 HEBARD HILL RD</t>
  </si>
  <si>
    <t>05060</t>
  </si>
  <si>
    <t>(802) 728-4322</t>
  </si>
  <si>
    <t>WBOHNYAK@GMAIL.COM</t>
  </si>
  <si>
    <t>WDR 5</t>
  </si>
  <si>
    <t>TESHA BUSS</t>
  </si>
  <si>
    <t>WOODSTOCK</t>
  </si>
  <si>
    <t>1135 WEST WOODSTOCK RD</t>
  </si>
  <si>
    <t>05091</t>
  </si>
  <si>
    <t>(802) 245-4746</t>
  </si>
  <si>
    <t>TESHABUSS@GMAIL.COM</t>
  </si>
  <si>
    <t>WWW.TESHABUSS.COM</t>
  </si>
  <si>
    <t>VAUGHN S. P. COMEAU</t>
  </si>
  <si>
    <t>BERKSHIRE</t>
  </si>
  <si>
    <t>1 P.O. BOX 1323</t>
  </si>
  <si>
    <t>ENOSBURG FALLS</t>
  </si>
  <si>
    <t>05450</t>
  </si>
  <si>
    <t>LAUREL MACKIN</t>
  </si>
  <si>
    <t>THETFORD</t>
  </si>
  <si>
    <t>459 TUCKER HILL RD</t>
  </si>
  <si>
    <t>05074</t>
  </si>
  <si>
    <t>(802) 785-2414</t>
  </si>
  <si>
    <t>LMM459@GMAIL.COM</t>
  </si>
  <si>
    <t>CHI N 1</t>
  </si>
  <si>
    <t>IRENE WRENNER</t>
  </si>
  <si>
    <t>ESSEX</t>
  </si>
  <si>
    <t>15 THRUSH LN</t>
  </si>
  <si>
    <t>05452</t>
  </si>
  <si>
    <t>(802) 879-0011</t>
  </si>
  <si>
    <t>IRENE@WRENNER4SENATE.ORG</t>
  </si>
  <si>
    <t>WWW.WRENNER4SENATE.ORG</t>
  </si>
  <si>
    <t>CHI 22</t>
  </si>
  <si>
    <t>KAREN DOLAN</t>
  </si>
  <si>
    <t>28 JACKSON ST</t>
  </si>
  <si>
    <t>ESSEX JCT</t>
  </si>
  <si>
    <t>(802) 233-4434</t>
  </si>
  <si>
    <t>KAREN@DOLANFORVTHOUSE.COM</t>
  </si>
  <si>
    <t>WWW.DOLANFORVTHOUSE.COM</t>
  </si>
  <si>
    <t>LORI HOUGHTON</t>
  </si>
  <si>
    <t>40 SCHOOL ST</t>
  </si>
  <si>
    <t>(802) 373-0599</t>
  </si>
  <si>
    <t>HOUGHTON.LORI@GMAIL.COM</t>
  </si>
  <si>
    <t>WWW.LORIHOUGHTON.COM</t>
  </si>
  <si>
    <t>CHI 23</t>
  </si>
  <si>
    <t>REY GAROFANO</t>
  </si>
  <si>
    <t>(802) 922-3311</t>
  </si>
  <si>
    <t>REYGAROFANO@GMAIL.COM</t>
  </si>
  <si>
    <t>CHI 24</t>
  </si>
  <si>
    <t>ALYSSA BLACK</t>
  </si>
  <si>
    <t>PO BOX 9141</t>
  </si>
  <si>
    <t>05451</t>
  </si>
  <si>
    <t>(802) 598-1026</t>
  </si>
  <si>
    <t>ALYSSAHBLACK@GMAIL.COM</t>
  </si>
  <si>
    <t>ALYSSAFORVT.ORG</t>
  </si>
  <si>
    <t>LAMOILLE</t>
  </si>
  <si>
    <t>DAVID YACOVONE</t>
  </si>
  <si>
    <t>MORRISTOWN</t>
  </si>
  <si>
    <t>28 MANSFIELD AVE</t>
  </si>
  <si>
    <t>05661</t>
  </si>
  <si>
    <t>(802) 730-0483</t>
  </si>
  <si>
    <t>DAVID.YACOVONE@GMAIL.COM</t>
  </si>
  <si>
    <t>CALEDONIA</t>
  </si>
  <si>
    <t>JAMES HEMOND</t>
  </si>
  <si>
    <t>WATERFORD</t>
  </si>
  <si>
    <t>123 SIMPSON BROOK RD</t>
  </si>
  <si>
    <t>05819</t>
  </si>
  <si>
    <t>(802) 745-9113</t>
  </si>
  <si>
    <t>JAMES.HEMOND@VERMONT.GOV</t>
  </si>
  <si>
    <t>CHI SE 1</t>
  </si>
  <si>
    <t>THOMAS CHITTENDEN</t>
  </si>
  <si>
    <t>1600 DORSET ST</t>
  </si>
  <si>
    <t>(802) 233-1913</t>
  </si>
  <si>
    <t>THOMAS.CHITTENDEN@GMAIL.COM</t>
  </si>
  <si>
    <t>HTTPS://WWW.THOMASCHITTENDEN.COM/</t>
  </si>
  <si>
    <t>RUT 7</t>
  </si>
  <si>
    <t>WILLIAM NOTTE</t>
  </si>
  <si>
    <t>8 ORCHARD DR</t>
  </si>
  <si>
    <t>(802) 779-6369</t>
  </si>
  <si>
    <t>WILLNOTTE@GMAIL.COM</t>
  </si>
  <si>
    <t>WAS CHI</t>
  </si>
  <si>
    <t>THERESA A. WOOD</t>
  </si>
  <si>
    <t>WATERBURY</t>
  </si>
  <si>
    <t>1461 PERRY HILL RD</t>
  </si>
  <si>
    <t>05676</t>
  </si>
  <si>
    <t>(802) 585-5202</t>
  </si>
  <si>
    <t>THERESA.WOOD@COMCAST.NET</t>
  </si>
  <si>
    <t>CAL ESX</t>
  </si>
  <si>
    <t>FRANK EMPSALL</t>
  </si>
  <si>
    <t>SAINT JOHNSBURY</t>
  </si>
  <si>
    <t>99 UNDERCLYFFE RD</t>
  </si>
  <si>
    <t>(802) 424-1391</t>
  </si>
  <si>
    <t>FRANKAEMPSALL@AIM.COM</t>
  </si>
  <si>
    <t>WAS 1</t>
  </si>
  <si>
    <t>ANNE B. DONAHUE</t>
  </si>
  <si>
    <t>NORTHFIELD</t>
  </si>
  <si>
    <t>633 N MAIN ST</t>
  </si>
  <si>
    <t>05663</t>
  </si>
  <si>
    <t>ORL 1</t>
  </si>
  <si>
    <t>ROBERT A. STARR</t>
  </si>
  <si>
    <t>TROY</t>
  </si>
  <si>
    <t>958 VTRT 105W</t>
  </si>
  <si>
    <t>NORTH TROY</t>
  </si>
  <si>
    <t>05859</t>
  </si>
  <si>
    <t>(802) 988-2877</t>
  </si>
  <si>
    <t>HARLEYRIDERS@MYFAIRPOINT.NET</t>
  </si>
  <si>
    <t>BRIAN SHELDEN</t>
  </si>
  <si>
    <t>P.O. BOX 8225</t>
  </si>
  <si>
    <t>(802) 879-7665</t>
  </si>
  <si>
    <t>BRIAN@SHELDEN4VT.ORG</t>
  </si>
  <si>
    <t>HTTPS://SHELDEN4VT.ORG</t>
  </si>
  <si>
    <t>ERICKA BUNDY REDIC</t>
  </si>
  <si>
    <t>70 SOUTH WINOOSKI AVE #114</t>
  </si>
  <si>
    <t>05401</t>
  </si>
  <si>
    <t>(802) 448-0408</t>
  </si>
  <si>
    <t>CONTACT@ERICKAREDIC.COM</t>
  </si>
  <si>
    <t>GOVERNOR</t>
  </si>
  <si>
    <t>BRENDA SIEGEL</t>
  </si>
  <si>
    <t>NEWFANE</t>
  </si>
  <si>
    <t>PO BOX 1819</t>
  </si>
  <si>
    <t>INFO@BRENDAFORVERMONT.COM</t>
  </si>
  <si>
    <t>BRENDAFORVERMONT.COM</t>
  </si>
  <si>
    <t>ADD 4</t>
  </si>
  <si>
    <t>MARI CORDES</t>
  </si>
  <si>
    <t>LINCOLN</t>
  </si>
  <si>
    <t>298 BIDDLE RD</t>
  </si>
  <si>
    <t>05443</t>
  </si>
  <si>
    <t>(802) 989-9267</t>
  </si>
  <si>
    <t>MARI.VERMONT@GMAIL.COM</t>
  </si>
  <si>
    <t>HTTPS://MARICORDES.ORG</t>
  </si>
  <si>
    <t>CHI 18</t>
  </si>
  <si>
    <t>CAROL ODE</t>
  </si>
  <si>
    <t>229 APPLETREE POINT RD</t>
  </si>
  <si>
    <t>(802) 238-6252</t>
  </si>
  <si>
    <t>ODE.CAROL@GMAIL.COM</t>
  </si>
  <si>
    <t>WAS 2</t>
  </si>
  <si>
    <t>KARI DOLAN</t>
  </si>
  <si>
    <t>WAITSFIELD</t>
  </si>
  <si>
    <t>PO BOX 1443</t>
  </si>
  <si>
    <t>05673</t>
  </si>
  <si>
    <t>(802) 496-5020</t>
  </si>
  <si>
    <t>KARI.DOLANVT@GMAIL.COM</t>
  </si>
  <si>
    <t>KARIDOLAN.COM</t>
  </si>
  <si>
    <t>WDH 8</t>
  </si>
  <si>
    <t>MOLLIE S. BURKE</t>
  </si>
  <si>
    <t>62 WEST ST</t>
  </si>
  <si>
    <t>(802) 257-4844</t>
  </si>
  <si>
    <t>MOLLIEBURKEVT@GMAIL.COM</t>
  </si>
  <si>
    <t>MOLLIEBURKE.COM</t>
  </si>
  <si>
    <t>LON T. MCCLINTOCK</t>
  </si>
  <si>
    <t>457 ROLLIN RD</t>
  </si>
  <si>
    <t>N. BENNINGTON</t>
  </si>
  <si>
    <t>(802) 345-3108</t>
  </si>
  <si>
    <t>LMCCLINTOCK@LTMATTY.COM</t>
  </si>
  <si>
    <t>WASHINGTON</t>
  </si>
  <si>
    <t>JEFFREY P. KILGORE</t>
  </si>
  <si>
    <t>75 MILLER LANE</t>
  </si>
  <si>
    <t>WATERBURY CENTER</t>
  </si>
  <si>
    <t>05677</t>
  </si>
  <si>
    <t>(802) 229-8674</t>
  </si>
  <si>
    <t>EROGLIKJ@COMCAST.NET</t>
  </si>
  <si>
    <t>ADDISON</t>
  </si>
  <si>
    <t>PATRICIA "PATTY" ROSS</t>
  </si>
  <si>
    <t>CORNWALL</t>
  </si>
  <si>
    <t>1153 CIDER MILL RD</t>
  </si>
  <si>
    <t>05753</t>
  </si>
  <si>
    <t>MARY C. FROST</t>
  </si>
  <si>
    <t>P.O. BOX 142</t>
  </si>
  <si>
    <t>05257</t>
  </si>
  <si>
    <t>(802) 345-3756</t>
  </si>
  <si>
    <t>MARY.FROST@VERMONT.GOV</t>
  </si>
  <si>
    <t>ELIZABETH BATTEY</t>
  </si>
  <si>
    <t>420 TOWNE HILL RD</t>
  </si>
  <si>
    <t>05602</t>
  </si>
  <si>
    <t>(802) 522-4902</t>
  </si>
  <si>
    <t>ELIZABETHBATTEY@GMAIL.COM</t>
  </si>
  <si>
    <t>LEAH MURPHY JONES</t>
  </si>
  <si>
    <t>65 COLLEGE STREET</t>
  </si>
  <si>
    <t>(802) 338-5521</t>
  </si>
  <si>
    <t>ALLOY.LEAH@LIVE.COM</t>
  </si>
  <si>
    <t>MICHAEL A. RICCI</t>
  </si>
  <si>
    <t>13 CHURCH ST</t>
  </si>
  <si>
    <t>(802) 282-3285</t>
  </si>
  <si>
    <t>MICHAEL_A_RICCI@HOTMAIL.COM</t>
  </si>
  <si>
    <t>JOEL R. HOWARD JR.</t>
  </si>
  <si>
    <t>POWNAL</t>
  </si>
  <si>
    <t>23 SCHOOL HOUSE RD</t>
  </si>
  <si>
    <t>05261</t>
  </si>
  <si>
    <t>(802) 681-5836</t>
  </si>
  <si>
    <t>HOWARDJOEL73@GMAIL.COM</t>
  </si>
  <si>
    <t>ROGER MARCOUX</t>
  </si>
  <si>
    <t>PO BOX 377</t>
  </si>
  <si>
    <t>HYDE PARK</t>
  </si>
  <si>
    <t>05655</t>
  </si>
  <si>
    <t>(802) 888-6958</t>
  </si>
  <si>
    <t>RMARCOUX140@GMAIL.COM</t>
  </si>
  <si>
    <t>BOB FARRAR</t>
  </si>
  <si>
    <t>SAINT ALBANS CITY</t>
  </si>
  <si>
    <t>70 FERRIS ST</t>
  </si>
  <si>
    <t>LYNN DIKE</t>
  </si>
  <si>
    <t>BRISTOL</t>
  </si>
  <si>
    <t>1077 BURPEE RD</t>
  </si>
  <si>
    <t>(802) 377-9258</t>
  </si>
  <si>
    <t>(802) 453-5161</t>
  </si>
  <si>
    <t>LLDIKE@GMAVT.NET</t>
  </si>
  <si>
    <t>LYNN DIKE FOR VT HOUSE (FB)</t>
  </si>
  <si>
    <t>Financial Disclosure</t>
  </si>
  <si>
    <t>MARK COESTER</t>
  </si>
  <si>
    <t>P.O. BOX 37</t>
  </si>
  <si>
    <t>(802) 722-4007</t>
  </si>
  <si>
    <t>BIG.TIMBER@LIVE.COM</t>
  </si>
  <si>
    <t>CCF_000006_47fa1bed-7488-4b61-b047-cef84475b851.pdf</t>
  </si>
  <si>
    <t>Morton Financial_afa3189a-2263-4eaf-b8fd-7dae61a9b255.pdf</t>
  </si>
  <si>
    <t>WICHIE ARTU</t>
  </si>
  <si>
    <t>ATHENS</t>
  </si>
  <si>
    <t>126 BROOKLINE RD</t>
  </si>
  <si>
    <t>(802) 289-0204</t>
  </si>
  <si>
    <t>INFO@WICHIEFORWINDHAM.COM</t>
  </si>
  <si>
    <t>WWW.WICHIEFORWINDHAM.COM</t>
  </si>
  <si>
    <t>Cordes Mari Financial Disclosure 05 16 2022_d7e7bb8f-b727-4cee-8dca-87a0af21c2dd.pdf</t>
  </si>
  <si>
    <t>doc05019920220511143746_24b51a53-0ced-4c01-8ca5-1c6e60d37d1c.pdf</t>
  </si>
  <si>
    <t>20220516103846_f4609e2a-5ab7-4a8a-a46e-69a9762181ff.pdf</t>
  </si>
  <si>
    <t>Scan_20220509 (6)_d02154a2-952a-442c-bdd6-f5f13db04c72.pdf</t>
  </si>
  <si>
    <t>TRACY KELLY SHRIVER</t>
  </si>
  <si>
    <t>15 CHERRY</t>
  </si>
  <si>
    <t>(802) 365-1084</t>
  </si>
  <si>
    <t>TKSHRIVER@HOTMAIL.COM</t>
  </si>
  <si>
    <t>CHI CT 1</t>
  </si>
  <si>
    <t>PHIL BARUTH</t>
  </si>
  <si>
    <t>P.O. BOX 876</t>
  </si>
  <si>
    <t>(802) 503-5266</t>
  </si>
  <si>
    <t>BARUTHSENATE18@GMAIL.COM</t>
  </si>
  <si>
    <t>WWW.FACEBOOK.COM/BARUTHSENATE</t>
  </si>
  <si>
    <t>SARA COFFEY</t>
  </si>
  <si>
    <t>GUILFORD</t>
  </si>
  <si>
    <t>542 FITCH RD GUILFORD VT 05301</t>
  </si>
  <si>
    <t>(802) 257-0288</t>
  </si>
  <si>
    <t>SARACOFFEYVT@GMAIL.COM</t>
  </si>
  <si>
    <t>SARACOFFEYVT.COM</t>
  </si>
  <si>
    <t>Sara Coffey Financial forms_9f92d83a-274d-4035-a4a7-5fb788d1b4b0.pdf</t>
  </si>
  <si>
    <t>FREDERICK GILBAR</t>
  </si>
  <si>
    <t>179 JUSTIN AVE</t>
  </si>
  <si>
    <t>MARC POULIN</t>
  </si>
  <si>
    <t>70 VALLEY VIEW CIR</t>
  </si>
  <si>
    <t>(802) 279-0551</t>
  </si>
  <si>
    <t>MARC.POULIN1975@GMAIL.COM</t>
  </si>
  <si>
    <t>FRA 5</t>
  </si>
  <si>
    <t>LISA A. HANGO</t>
  </si>
  <si>
    <t>471 POTATO HILL RD</t>
  </si>
  <si>
    <t>(802) 933-4667</t>
  </si>
  <si>
    <t>LAHANGO@GMAIL.COM</t>
  </si>
  <si>
    <t>HANGOFORHOUSE.COM</t>
  </si>
  <si>
    <t>Hango, Lisa A - financial disclosure_10c1756e-f27e-4e16-8a94-3f9da92ff10f.pdf</t>
  </si>
  <si>
    <t>US SENATOR</t>
  </si>
  <si>
    <t>CHRISTINA NOLAN</t>
  </si>
  <si>
    <t>PO BOX 4155</t>
  </si>
  <si>
    <t>05406</t>
  </si>
  <si>
    <t>(802) 598-9073</t>
  </si>
  <si>
    <t>INFO@CHRISTINANOLANFORUSSENATE.COM</t>
  </si>
  <si>
    <t>CHRISTINANOLANFORUSSENATE.COM</t>
  </si>
  <si>
    <t>WDR ORA 2</t>
  </si>
  <si>
    <t>BILL T. HUFF</t>
  </si>
  <si>
    <t>972 GOVE HILL RD</t>
  </si>
  <si>
    <t>THETFORD CTR</t>
  </si>
  <si>
    <t>05075</t>
  </si>
  <si>
    <t>(802) 785-4640</t>
  </si>
  <si>
    <t>HUFFFORVTSTATEREP@GMAIL.COM</t>
  </si>
  <si>
    <t>HUFFFROVERMONTSTATEREP.COM</t>
  </si>
  <si>
    <t>BOB WORLEY</t>
  </si>
  <si>
    <t>3901 VT ROUTE 66 PO BOX 274</t>
  </si>
  <si>
    <t>RANDOLPH CENTER</t>
  </si>
  <si>
    <t>05061</t>
  </si>
  <si>
    <t>(802) 989-4759</t>
  </si>
  <si>
    <t>RWORLEY@ORANGESOUTHWEST.ORG</t>
  </si>
  <si>
    <t>ISAAC EVANS-FRANTZ</t>
  </si>
  <si>
    <t>PO BOX 216</t>
  </si>
  <si>
    <t>05302</t>
  </si>
  <si>
    <t>TEAM@ISAACFORVERMONT.COM</t>
  </si>
  <si>
    <t>ISAACFORVERMONT.COM</t>
  </si>
  <si>
    <t>ATTORNEY GENERAL</t>
  </si>
  <si>
    <t>CHARITY R. CLARK</t>
  </si>
  <si>
    <t>WILLISTON</t>
  </si>
  <si>
    <t>PO BOX 92</t>
  </si>
  <si>
    <t>RICHMOND</t>
  </si>
  <si>
    <t>05477</t>
  </si>
  <si>
    <t>(802) 828-7011</t>
  </si>
  <si>
    <t>INFO@CHARITYFORVERMONT.COM</t>
  </si>
  <si>
    <t>CHARITYFORVERMONT.COM</t>
  </si>
  <si>
    <t>ADD 3</t>
  </si>
  <si>
    <t>DIANE LANPHER</t>
  </si>
  <si>
    <t>VERGENNES</t>
  </si>
  <si>
    <t>PO BOX 165</t>
  </si>
  <si>
    <t>05491</t>
  </si>
  <si>
    <t>CHI 5</t>
  </si>
  <si>
    <t>MICHAEL "MIKE" YANTACHKA</t>
  </si>
  <si>
    <t>CHARLOTTE</t>
  </si>
  <si>
    <t>393 NATURES WAY</t>
  </si>
  <si>
    <t>05445</t>
  </si>
  <si>
    <t>LAM WAS</t>
  </si>
  <si>
    <t>AVRAM PATT</t>
  </si>
  <si>
    <t>WORCESTER</t>
  </si>
  <si>
    <t>139 WEST HILL RD</t>
  </si>
  <si>
    <t>05682</t>
  </si>
  <si>
    <t>(802) 223-1014</t>
  </si>
  <si>
    <t>AVRAM@AVRAMPATT.COM</t>
  </si>
  <si>
    <t>AVRAMPATT.COM</t>
  </si>
  <si>
    <t>SARAH R. STAR</t>
  </si>
  <si>
    <t>MIDDLEBURY</t>
  </si>
  <si>
    <t>PO BOX 106</t>
  </si>
  <si>
    <t>(802) 385-1023</t>
  </si>
  <si>
    <t>SARAHSTAR.ESQ@GMAIL.COM</t>
  </si>
  <si>
    <t>STATE TREASURER</t>
  </si>
  <si>
    <t>H. BROOKE PAIGE</t>
  </si>
  <si>
    <t>PO BOX 41</t>
  </si>
  <si>
    <t>05675</t>
  </si>
  <si>
    <t>(802) 883-2320</t>
  </si>
  <si>
    <t>DONNAP@SOVER.NET</t>
  </si>
  <si>
    <t>AUDITOR OF ACCOUNTS</t>
  </si>
  <si>
    <t>LAM 1</t>
  </si>
  <si>
    <t>CAMBRIDGE</t>
  </si>
  <si>
    <t>2439 IRON GATE RD</t>
  </si>
  <si>
    <t>05444</t>
  </si>
  <si>
    <t>(802) 644-2297</t>
  </si>
  <si>
    <t>RAWESTMAN@GMAIL.COM</t>
  </si>
  <si>
    <t>WAYNE LAROCHE</t>
  </si>
  <si>
    <t>2439 LAKE RD</t>
  </si>
  <si>
    <t>05457</t>
  </si>
  <si>
    <t>(802) 285-6141</t>
  </si>
  <si>
    <t>DEERWAYNE@FRANKLINVT.NET</t>
  </si>
  <si>
    <t>WDR 3</t>
  </si>
  <si>
    <t>JUDY STERN</t>
  </si>
  <si>
    <t>1420 GIDDINGS ST</t>
  </si>
  <si>
    <t>NORTH SPRINGFIELD</t>
  </si>
  <si>
    <t>05150</t>
  </si>
  <si>
    <t>(802) 886-2198</t>
  </si>
  <si>
    <t>JASTERN2946@VERMONTEL.NET</t>
  </si>
  <si>
    <t>JENNIFER HARLOW JACOBS</t>
  </si>
  <si>
    <t>HOLLAND</t>
  </si>
  <si>
    <t>541 HOLLAND POND RD</t>
  </si>
  <si>
    <t>DERBY LINE</t>
  </si>
  <si>
    <t>05830</t>
  </si>
  <si>
    <t>(802) 673-3642</t>
  </si>
  <si>
    <t>JHARLOW12@GMAIL.COM</t>
  </si>
  <si>
    <t>JENNIFER BARRETT</t>
  </si>
  <si>
    <t>PO BOX 85</t>
  </si>
  <si>
    <t>COVENTRY</t>
  </si>
  <si>
    <t>05825</t>
  </si>
  <si>
    <t>BARRETTJENNIFERL@GMAIL.COM</t>
  </si>
  <si>
    <t>DAVID J. FOX</t>
  </si>
  <si>
    <t>TINMOUTH</t>
  </si>
  <si>
    <t>P O BOX 183</t>
  </si>
  <si>
    <t>WALLINGFORD</t>
  </si>
  <si>
    <t>05773</t>
  </si>
  <si>
    <t>(802) 558-9481</t>
  </si>
  <si>
    <t>(802) 446-3268</t>
  </si>
  <si>
    <t>95MVRFOX@GMAIL.COM</t>
  </si>
  <si>
    <t>SCOTT KIRKPATRICK</t>
  </si>
  <si>
    <t>JOHNSON</t>
  </si>
  <si>
    <t>76 MEADOW VIEW LN</t>
  </si>
  <si>
    <t>05656</t>
  </si>
  <si>
    <t>(715) 533-0943</t>
  </si>
  <si>
    <t>SCOTTKIRKPATRICK24@GMAIL.COM</t>
  </si>
  <si>
    <t>JOHNATHAN "J.J." BIXBY</t>
  </si>
  <si>
    <t>18 HILLTOP TER</t>
  </si>
  <si>
    <t>(802) 779-8002</t>
  </si>
  <si>
    <t>RED-CON1@HOTMAIL.COM</t>
  </si>
  <si>
    <t>RORY THIBAULT</t>
  </si>
  <si>
    <t>CABOT</t>
  </si>
  <si>
    <t>PO BOX 143</t>
  </si>
  <si>
    <t>05647</t>
  </si>
  <si>
    <t>(802) 373-6262</t>
  </si>
  <si>
    <t>RORY@RORYTHIBAULT.COM</t>
  </si>
  <si>
    <t>RORYTHIBAULT.COM</t>
  </si>
  <si>
    <t>LAM 2</t>
  </si>
  <si>
    <t>KATE DONNALLY</t>
  </si>
  <si>
    <t>P.O. BOX 394</t>
  </si>
  <si>
    <t>(802) 777-8148</t>
  </si>
  <si>
    <t>KATEDONNALLYVT@GMAIL.COM</t>
  </si>
  <si>
    <t>KATEDONNALLYVT.COM</t>
  </si>
  <si>
    <t>DANIEL NOYES</t>
  </si>
  <si>
    <t>WOLCOTT</t>
  </si>
  <si>
    <t>1394 RICHARD WOOLCUTT RD</t>
  </si>
  <si>
    <t>05680</t>
  </si>
  <si>
    <t>(802) 730-7171</t>
  </si>
  <si>
    <t>DAN@STREAMBANKS.ORG</t>
  </si>
  <si>
    <t>WWW.DANNOYESVT.COM</t>
  </si>
  <si>
    <t>59 COOLIDGE RD</t>
  </si>
  <si>
    <t>(802) 885-2949</t>
  </si>
  <si>
    <t>K.MORRIS51@OUTLOOK.COM</t>
  </si>
  <si>
    <t>(802) 380-4285</t>
  </si>
  <si>
    <t>LESLIEGFORWINDHAM3@GMAIL.COM</t>
  </si>
  <si>
    <t>CHI 2</t>
  </si>
  <si>
    <t>ERIN BRADY</t>
  </si>
  <si>
    <t>48 BROOKSIDE DR</t>
  </si>
  <si>
    <t>05495</t>
  </si>
  <si>
    <t>CONTACT@ERINBRADYFORWILLISTON.COM</t>
  </si>
  <si>
    <t>ERINBRADYFORWILLISTON.COM</t>
  </si>
  <si>
    <t>PETER D ANTHONY</t>
  </si>
  <si>
    <t>25 SCAMPINI SQ</t>
  </si>
  <si>
    <t>(802) 479-2420</t>
  </si>
  <si>
    <t>PDANTHONY@CHARTER.NET</t>
  </si>
  <si>
    <t>HTTPS://PETERANTHONYVT.COM</t>
  </si>
  <si>
    <t>TIM LUEDERS-DUMONT</t>
  </si>
  <si>
    <t>221 BARRE STREET #B202</t>
  </si>
  <si>
    <t>(802) 349-7887</t>
  </si>
  <si>
    <t>TIMLDVERMONT@GMAIL.COM</t>
  </si>
  <si>
    <t>TIMLDVERMONT.COM</t>
  </si>
  <si>
    <t>LELAND MORGAN</t>
  </si>
  <si>
    <t>MILTON</t>
  </si>
  <si>
    <t>23 MORGAN RD</t>
  </si>
  <si>
    <t>05468</t>
  </si>
  <si>
    <t>(802) 318-0227</t>
  </si>
  <si>
    <t>LEEJMORGAN@HOTMAIL.COM</t>
  </si>
  <si>
    <t>ALLISON DUQUETTE</t>
  </si>
  <si>
    <t>PO BOX 784</t>
  </si>
  <si>
    <t>(802) 318-8663</t>
  </si>
  <si>
    <t>ALLISONDUQUETTEFORVERMONT@GMAIL.COM</t>
  </si>
  <si>
    <t>KENN STRANSKY</t>
  </si>
  <si>
    <t>NORTON</t>
  </si>
  <si>
    <t>GI 1</t>
  </si>
  <si>
    <t>RICHARD "DICK" MAZZA</t>
  </si>
  <si>
    <t>COLCHESTER</t>
  </si>
  <si>
    <t>777 WEST LAKESHORE DR</t>
  </si>
  <si>
    <t>05446</t>
  </si>
  <si>
    <t>(802) 862-4065</t>
  </si>
  <si>
    <t>(802) 863-1067</t>
  </si>
  <si>
    <t>ORA WAS ADD</t>
  </si>
  <si>
    <t>LARRY SATCOWITZ</t>
  </si>
  <si>
    <t>12 PROSPECT AVE</t>
  </si>
  <si>
    <t>(802) 249-2280</t>
  </si>
  <si>
    <t>LARRY@SATCOWITZ.COM</t>
  </si>
  <si>
    <t>LARRY.SATCOWITZ.COM</t>
  </si>
  <si>
    <t>WAS 4</t>
  </si>
  <si>
    <t>KEN JONES</t>
  </si>
  <si>
    <t>75 CLARENDON AVE</t>
  </si>
  <si>
    <t>(802) 498-3379</t>
  </si>
  <si>
    <t>KJONES@GMIED.ORG</t>
  </si>
  <si>
    <t>KATE MCCANN</t>
  </si>
  <si>
    <t>82 TRILLIUM HL</t>
  </si>
  <si>
    <t>(802) 318-3739</t>
  </si>
  <si>
    <t>KMCCANNU32@GMAIL.COM</t>
  </si>
  <si>
    <t>ETHAN PARKE</t>
  </si>
  <si>
    <t>PO BOX 445</t>
  </si>
  <si>
    <t>318 SUMMER ST</t>
  </si>
  <si>
    <t>(802) 885-5893</t>
  </si>
  <si>
    <t>AEMMONS61@HOTMAIL.COM</t>
  </si>
  <si>
    <t>DIEDRE "DEE" GISH</t>
  </si>
  <si>
    <t>SHARON</t>
  </si>
  <si>
    <t>PO BOX 265</t>
  </si>
  <si>
    <t>05065</t>
  </si>
  <si>
    <t>(802) 683-9363</t>
  </si>
  <si>
    <t>DEEGISH@GMAIL.COM</t>
  </si>
  <si>
    <t>DEEGISHFORVT.COM</t>
  </si>
  <si>
    <t>GREGORY J. GLENNON</t>
  </si>
  <si>
    <t>53 WOODLAWN RD</t>
  </si>
  <si>
    <t>(802) 233-0258</t>
  </si>
  <si>
    <t>GREG_GLENNON@HOTMAIL.COM</t>
  </si>
  <si>
    <t>NICOLE WILKERSON</t>
  </si>
  <si>
    <t>1186 HALLADAY RD</t>
  </si>
  <si>
    <t>(802) 598-8033</t>
  </si>
  <si>
    <t>NWILKERS@MIDDLEBURY.EDU</t>
  </si>
  <si>
    <t>ERICA ALBIN MARTHAGE</t>
  </si>
  <si>
    <t>MANCHESTER</t>
  </si>
  <si>
    <t>281 NOTTINGHAM PK</t>
  </si>
  <si>
    <t>05255</t>
  </si>
  <si>
    <t>DAVE SILBERMAN</t>
  </si>
  <si>
    <t>PO BOX 943</t>
  </si>
  <si>
    <t>(802) 349-1999</t>
  </si>
  <si>
    <t>DAVE.SILBERMAN@GMAIL.COM</t>
  </si>
  <si>
    <t>WWW.DAVESILBERMAN.COM</t>
  </si>
  <si>
    <t>FRA 1</t>
  </si>
  <si>
    <t>ROBERT W. NORRIS</t>
  </si>
  <si>
    <t>SHELDON</t>
  </si>
  <si>
    <t>162 VT ROUTE 105</t>
  </si>
  <si>
    <t>05483</t>
  </si>
  <si>
    <t>RICHARD A. WESTMAN</t>
  </si>
  <si>
    <t>ESX CAL</t>
  </si>
  <si>
    <t>TERRI LYNN WILLIAMS</t>
  </si>
  <si>
    <t>GRANBY</t>
  </si>
  <si>
    <t>1171 SHORES HL</t>
  </si>
  <si>
    <t>05840</t>
  </si>
  <si>
    <t>(802) 535-4704</t>
  </si>
  <si>
    <t>TWILLIAMS@LEG.STATE.VT.US</t>
  </si>
  <si>
    <t>SIANAY CHASE CLIFFORD</t>
  </si>
  <si>
    <t>PO BOX 8267</t>
  </si>
  <si>
    <t>ESSEX JUNCTION</t>
  </si>
  <si>
    <t>(802) 316-8496</t>
  </si>
  <si>
    <t>TOGETHER@SIANAYCLIFFORD.COM</t>
  </si>
  <si>
    <t>SIANAYCLIFFORD.COM</t>
  </si>
  <si>
    <t>FRA 3</t>
  </si>
  <si>
    <t>MIKE MCCARTHY</t>
  </si>
  <si>
    <t>113 BANK ST</t>
  </si>
  <si>
    <t>(802) 233-7587</t>
  </si>
  <si>
    <t>MIKE@ILIKEMIKEVT.COM</t>
  </si>
  <si>
    <t>WWW.ILIKEMIKEVT.COM</t>
  </si>
  <si>
    <t>FRA 8</t>
  </si>
  <si>
    <t>LAUREN DEES-ERICKSON</t>
  </si>
  <si>
    <t>26 RUGG ST</t>
  </si>
  <si>
    <t>(802) 377-0433</t>
  </si>
  <si>
    <t>ERICKSONFORVERMONTHOUSE@GMAIL.COM</t>
  </si>
  <si>
    <t>HTTPS://WWW.LAURENFORVERMONT.COM/</t>
  </si>
  <si>
    <t>JAY HOOPER</t>
  </si>
  <si>
    <t>2998 VT ROUTE 66</t>
  </si>
  <si>
    <t>(802) 299-6371</t>
  </si>
  <si>
    <t>HOOPER4HOUSE@GMAIL.COM</t>
  </si>
  <si>
    <t>WWW.VOTE4HOOP.COM</t>
  </si>
  <si>
    <t>CONOR CASEY</t>
  </si>
  <si>
    <t>2 MECHANIC ST, UNIT 3</t>
  </si>
  <si>
    <t>(860) 899-6920</t>
  </si>
  <si>
    <t>CONOR33@GMAIL.COM</t>
  </si>
  <si>
    <t>JIM MASLAND</t>
  </si>
  <si>
    <t>714 PERO HILL RD</t>
  </si>
  <si>
    <t>(802) 785-4146</t>
  </si>
  <si>
    <t>JAMESQ56@YAHOO.COM</t>
  </si>
  <si>
    <t>SARAH COPELAND HANZAS</t>
  </si>
  <si>
    <t>BRADFORD</t>
  </si>
  <si>
    <t>PO BOX 43</t>
  </si>
  <si>
    <t>05033</t>
  </si>
  <si>
    <t>(802) 222-4064</t>
  </si>
  <si>
    <t>SARAH4VERMONT@GMAIL.COM</t>
  </si>
  <si>
    <t>SARAHFORVERMONT.COM</t>
  </si>
  <si>
    <t>BEN 1</t>
  </si>
  <si>
    <t>BRIAN CAMPION</t>
  </si>
  <si>
    <t>1292 WEST RD</t>
  </si>
  <si>
    <t>ANN CUMMINGS</t>
  </si>
  <si>
    <t>24 COLONIAL DR</t>
  </si>
  <si>
    <t>(802) 223-6043</t>
  </si>
  <si>
    <t>SENATORANNCUMMINGS@GMAIL.COM</t>
  </si>
  <si>
    <t>FACEBOOK: SENATOR ANN CUMMINGS</t>
  </si>
  <si>
    <t>JARED DUVAL</t>
  </si>
  <si>
    <t>610 ELM ST</t>
  </si>
  <si>
    <t>(802) 829-7421</t>
  </si>
  <si>
    <t>JARED@JAREDDUVALVT.COM</t>
  </si>
  <si>
    <t>WWW.JAREDDUVALVT.COM</t>
  </si>
  <si>
    <t>ANDREW PERCHLIK</t>
  </si>
  <si>
    <t>MARSHFIELD</t>
  </si>
  <si>
    <t>530 LAIRD POND RD</t>
  </si>
  <si>
    <t>05658</t>
  </si>
  <si>
    <t>(802) 279-0471</t>
  </si>
  <si>
    <t>ANDREWPERCHLIK@GMAIL.COM</t>
  </si>
  <si>
    <t>WWW.ANDREWPERCHLIK.COM</t>
  </si>
  <si>
    <t>ADD 1</t>
  </si>
  <si>
    <t>ROBIN SCHEU</t>
  </si>
  <si>
    <t>1459 MUNGER ST</t>
  </si>
  <si>
    <t>(802) 388-1460</t>
  </si>
  <si>
    <t>SCHEUFORMIDDLEBURY@GMAIL.COM</t>
  </si>
  <si>
    <t>HTTP://WWW.ROBINSCHEU.COM</t>
  </si>
  <si>
    <t>AMY SHELDON</t>
  </si>
  <si>
    <t>PO BOX 311</t>
  </si>
  <si>
    <t>E MIDDLEBURY</t>
  </si>
  <si>
    <t>05740</t>
  </si>
  <si>
    <t>(802) 388-9278</t>
  </si>
  <si>
    <t>SHELDONFORHOUSE@COMCAST.NET</t>
  </si>
  <si>
    <t>MATT BIRONG</t>
  </si>
  <si>
    <t>PO BOX 54</t>
  </si>
  <si>
    <t>(802) 310-7047</t>
  </si>
  <si>
    <t>MATT@MATTBIRONG.COM</t>
  </si>
  <si>
    <t>MATTBIRONG.COM</t>
  </si>
  <si>
    <t>CALEB ELDER</t>
  </si>
  <si>
    <t>STARKSBORO</t>
  </si>
  <si>
    <t>580 RUBY BRACE RD</t>
  </si>
  <si>
    <t>05487</t>
  </si>
  <si>
    <t>(802) 373-6465</t>
  </si>
  <si>
    <t>CALELDER@GMAIL.COM</t>
  </si>
  <si>
    <t>CALEBELDER.COM</t>
  </si>
  <si>
    <t>NELSON BROWNELL</t>
  </si>
  <si>
    <t>1522 POWNAL RD N</t>
  </si>
  <si>
    <t>05260</t>
  </si>
  <si>
    <t>NELSONBROWNELL@ROCKETMAIL.COM</t>
  </si>
  <si>
    <t>CHI 13</t>
  </si>
  <si>
    <t>TIFF BLUEMLE</t>
  </si>
  <si>
    <t>160 LOCUST TERR.</t>
  </si>
  <si>
    <t>(802) 393-8171</t>
  </si>
  <si>
    <t>TIFF@TIFFBLUEMLE.COM</t>
  </si>
  <si>
    <t>WWW.TIFFBLUEMLE.COM</t>
  </si>
  <si>
    <t>GABRIELLE STEBBINS</t>
  </si>
  <si>
    <t>PO BOX 4587</t>
  </si>
  <si>
    <t>(802) 391-9502</t>
  </si>
  <si>
    <t>GABRIELLE.STEBBINSVT@GMAIL.COM</t>
  </si>
  <si>
    <t>WWW.STEBBINSFORVT.COM</t>
  </si>
  <si>
    <t>CHI 6</t>
  </si>
  <si>
    <t>KATE LALLEY</t>
  </si>
  <si>
    <t>SHELBURNE</t>
  </si>
  <si>
    <t>78 YACHT HAVEN DRIVE</t>
  </si>
  <si>
    <t>05482</t>
  </si>
  <si>
    <t>(802) 578-6964</t>
  </si>
  <si>
    <t>KATELALLEY2@GMAIL.COM</t>
  </si>
  <si>
    <t>ESX ORL</t>
  </si>
  <si>
    <t>PEGGY STEVENS</t>
  </si>
  <si>
    <t>CHARLESTON</t>
  </si>
  <si>
    <t>PO BOX 222</t>
  </si>
  <si>
    <t>EAST CHARLESTON</t>
  </si>
  <si>
    <t>05833</t>
  </si>
  <si>
    <t>(802) 723-5951</t>
  </si>
  <si>
    <t>PEGGYSTEVENSFORVTHOUSE@GMAIL.COM</t>
  </si>
  <si>
    <t>ORA 1</t>
  </si>
  <si>
    <t>CARL DEMROW</t>
  </si>
  <si>
    <t>77 KALLBERG DR</t>
  </si>
  <si>
    <t>(802) 439-6731</t>
  </si>
  <si>
    <t>CARLDEMROW.COM</t>
  </si>
  <si>
    <t>ORA 2</t>
  </si>
  <si>
    <t>MONIQUE PRIESTLEY</t>
  </si>
  <si>
    <t>1252 FAIRGROUND RD PO BOX 796</t>
  </si>
  <si>
    <t>(802) 449-2042</t>
  </si>
  <si>
    <t>TEAM@MONIQUEFORVERMONT.COM</t>
  </si>
  <si>
    <t>HTTPS://MONIQUEFORVERMONT.COM</t>
  </si>
  <si>
    <t>KATHERINE SIMS</t>
  </si>
  <si>
    <t>70 SUMMER DR</t>
  </si>
  <si>
    <t>05826</t>
  </si>
  <si>
    <t>(802) 673-7376</t>
  </si>
  <si>
    <t>KS@KATHERINESIMS.ORG</t>
  </si>
  <si>
    <t>WWW.KATHERINESIMSFORHOUSE.COM</t>
  </si>
  <si>
    <t>RUT 2</t>
  </si>
  <si>
    <t>DAVE POTTER</t>
  </si>
  <si>
    <t>CLARENDON</t>
  </si>
  <si>
    <t>462 E TINMOUTH RD</t>
  </si>
  <si>
    <t>WEST RUTLAND</t>
  </si>
  <si>
    <t>05777</t>
  </si>
  <si>
    <t>RUT 6</t>
  </si>
  <si>
    <t>MARY E. HOWARD</t>
  </si>
  <si>
    <t>PO BOX 6592</t>
  </si>
  <si>
    <t>05702</t>
  </si>
  <si>
    <t>(802) 775-1125</t>
  </si>
  <si>
    <t>JMH17A@COMCAST.NET</t>
  </si>
  <si>
    <t>WDH 4</t>
  </si>
  <si>
    <t>MIKE MROWICKI</t>
  </si>
  <si>
    <t>PUTNEY</t>
  </si>
  <si>
    <t>299 S PINE BANKS RD</t>
  </si>
  <si>
    <t>05346</t>
  </si>
  <si>
    <t>(802) 387-8787</t>
  </si>
  <si>
    <t>MMROWICKI@GMAIL.COM</t>
  </si>
  <si>
    <t>WDH 5</t>
  </si>
  <si>
    <t>EMILY LONG</t>
  </si>
  <si>
    <t>239 WISWALL HILL RD</t>
  </si>
  <si>
    <t>05345</t>
  </si>
  <si>
    <t>(802) 365-7360</t>
  </si>
  <si>
    <t>EMILYJDLONG@GMAIL.COM</t>
  </si>
  <si>
    <t>WWW.EMILYLONGVT.COM</t>
  </si>
  <si>
    <t>WDR ADD</t>
  </si>
  <si>
    <t>KIRK WHITE</t>
  </si>
  <si>
    <t>BETHEL</t>
  </si>
  <si>
    <t>307 CHRISTIAN HILL RD</t>
  </si>
  <si>
    <t>05032</t>
  </si>
  <si>
    <t>(802) 234-9670</t>
  </si>
  <si>
    <t>KIRKWHITEFORVTHOUSE@GMAIL.COM</t>
  </si>
  <si>
    <t>HTTPS://WWW.KIRKWHITEFORVTHOUSE.COM/</t>
  </si>
  <si>
    <t>SARAH F. GEORGE</t>
  </si>
  <si>
    <t>P.O. BOX 71</t>
  </si>
  <si>
    <t>HINESBURG</t>
  </si>
  <si>
    <t>05461</t>
  </si>
  <si>
    <t>(802) 578-5351</t>
  </si>
  <si>
    <t>SARAHFORSTATESATTORNEY@GMAIL.COM</t>
  </si>
  <si>
    <t>SARAHFORSTATESATTORNEY.COM</t>
  </si>
  <si>
    <t>BRIDGET GRACE</t>
  </si>
  <si>
    <t>FAYSTON</t>
  </si>
  <si>
    <t>78 HOFFMAN RD</t>
  </si>
  <si>
    <t>05660</t>
  </si>
  <si>
    <t>(248) 202-7441</t>
  </si>
  <si>
    <t>BRIDGET@BRIDGETGRACEVT.COM</t>
  </si>
  <si>
    <t>WWW.BRIDGETGRACEVT.COM</t>
  </si>
  <si>
    <t>ZACH WEIGHT</t>
  </si>
  <si>
    <t>38 N. MAIN STREET, 270</t>
  </si>
  <si>
    <t>(802) 999-3579</t>
  </si>
  <si>
    <t>ZACHERYWEIGHT@GMAIL.COM</t>
  </si>
  <si>
    <t>ZACHWEIGHT.COM</t>
  </si>
  <si>
    <t>VINCENT ILLUZZI</t>
  </si>
  <si>
    <t>527 RIDGE HILL DRIVE</t>
  </si>
  <si>
    <t>NEWPORT</t>
  </si>
  <si>
    <t>05855</t>
  </si>
  <si>
    <t>(802) 673-9030</t>
  </si>
  <si>
    <t>VINCENTILLUZZI@HOTMAIL.COM</t>
  </si>
  <si>
    <t>NIKI THRAN</t>
  </si>
  <si>
    <t>WARREN</t>
  </si>
  <si>
    <t>PO BOX 503</t>
  </si>
  <si>
    <t>05674</t>
  </si>
  <si>
    <t>(802) 238-7915</t>
  </si>
  <si>
    <t>DRNIKI2022@GMAIL.COM</t>
  </si>
  <si>
    <t>DRNIKITHRAN.COM</t>
  </si>
  <si>
    <t>JOHN ODUM</t>
  </si>
  <si>
    <t>22 SAINT PAUL ST</t>
  </si>
  <si>
    <t>(802) 917-4494</t>
  </si>
  <si>
    <t>ODUM.JOHN@GMAIL.COM</t>
  </si>
  <si>
    <t>ODUMFORVERMONT.COM</t>
  </si>
  <si>
    <t>DICK SEARS</t>
  </si>
  <si>
    <t>343 MATTESON RD</t>
  </si>
  <si>
    <t>VIRGINIA "GINNY" LYONS</t>
  </si>
  <si>
    <t>241 WHITE BIRCH LN</t>
  </si>
  <si>
    <t>(802) 318-8556</t>
  </si>
  <si>
    <t>(802) 863-6129</t>
  </si>
  <si>
    <t>SENATORGINNYLYONS@GMAIL.COM</t>
  </si>
  <si>
    <t>SENATORGINNYLYONS.COM</t>
  </si>
  <si>
    <t>LEWIS MUDGE</t>
  </si>
  <si>
    <t>3046 GREENBUSH RD</t>
  </si>
  <si>
    <t>(802) 989-9241</t>
  </si>
  <si>
    <t>LMMUDGE@GMAIL.COM</t>
  </si>
  <si>
    <t>PAM MCCARTHY</t>
  </si>
  <si>
    <t>4736 MAQUAM SHORE ROAD</t>
  </si>
  <si>
    <t>SWANTON</t>
  </si>
  <si>
    <t>05488</t>
  </si>
  <si>
    <t>(802) 238-1106</t>
  </si>
  <si>
    <t>RUT 1</t>
  </si>
  <si>
    <t>ANNA TADIO</t>
  </si>
  <si>
    <t>(802) 779-4621</t>
  </si>
  <si>
    <t>ANNATADIOFORSTATESENATE@GMAIL.COM</t>
  </si>
  <si>
    <t>ADD 5</t>
  </si>
  <si>
    <t>JUBILEE MCGILL</t>
  </si>
  <si>
    <t>BRIDPORT</t>
  </si>
  <si>
    <t>3056 VT ROUTE 22A</t>
  </si>
  <si>
    <t>05734</t>
  </si>
  <si>
    <t>(802) 272-5560</t>
  </si>
  <si>
    <t>JUBILEEFORVT@GMAIL.COM</t>
  </si>
  <si>
    <t>JUBILEEMCGILL.COM</t>
  </si>
  <si>
    <t>BEN 4</t>
  </si>
  <si>
    <t>SETH BONGARTZ</t>
  </si>
  <si>
    <t>PO BOX 1407</t>
  </si>
  <si>
    <t>MANCHESTER CENTER</t>
  </si>
  <si>
    <t>(802) 598-3477</t>
  </si>
  <si>
    <t>SETHBONGARTZ4STATEREP@GMAIL.COM</t>
  </si>
  <si>
    <t>SETHBONGARTZ4STATEREP.COM</t>
  </si>
  <si>
    <t>KATHLEEN JAMES</t>
  </si>
  <si>
    <t>PO BOX 1044</t>
  </si>
  <si>
    <t>(802) 366-1158</t>
  </si>
  <si>
    <t>KATHJAMES4STATEREP@GMAIL.COM</t>
  </si>
  <si>
    <t>HTTPS://KATHJAMESFORSTATEREP.COM/</t>
  </si>
  <si>
    <t>BEN 5</t>
  </si>
  <si>
    <t>MICHAEL NIGRO</t>
  </si>
  <si>
    <t>125 HILLSIDE ST</t>
  </si>
  <si>
    <t>(802) 440-2752</t>
  </si>
  <si>
    <t>NIRGO.VT@GMAIL.COM</t>
  </si>
  <si>
    <t>CAL 2</t>
  </si>
  <si>
    <t>CHIP TROIANO</t>
  </si>
  <si>
    <t>STANNARD</t>
  </si>
  <si>
    <t>261 HUTCHINS FARM ROAD</t>
  </si>
  <si>
    <t>EAST HARDWICK</t>
  </si>
  <si>
    <t>05836</t>
  </si>
  <si>
    <t>(802) 533-7712</t>
  </si>
  <si>
    <t>CHIPTROIANO@GMAIL.COM</t>
  </si>
  <si>
    <t>SCOTT CAMPBELL</t>
  </si>
  <si>
    <t>761 CROW HILL RD</t>
  </si>
  <si>
    <t>(802) 595-5580</t>
  </si>
  <si>
    <t>CAMPBELLFORVERMONT.COM</t>
  </si>
  <si>
    <t>CHI 1</t>
  </si>
  <si>
    <t>JANA BROWN</t>
  </si>
  <si>
    <t>(802) 999-4333</t>
  </si>
  <si>
    <t>JANABROWNFORSTATEREP@GMAIL.COM</t>
  </si>
  <si>
    <t>JANABROWNFORVT.COM</t>
  </si>
  <si>
    <t>CHI 15</t>
  </si>
  <si>
    <t>TROY HEADRICK</t>
  </si>
  <si>
    <t>75 BILODEAU CRT</t>
  </si>
  <si>
    <t>(802) 922-3524</t>
  </si>
  <si>
    <t>TROYHEADRICKVT@GMAIL.COM</t>
  </si>
  <si>
    <t>TROYHEADRICK.COM</t>
  </si>
  <si>
    <t>ANGELA ARSENAULT</t>
  </si>
  <si>
    <t>PO BOX 1102</t>
  </si>
  <si>
    <t>AMARSENAULT@GMAIL.COM</t>
  </si>
  <si>
    <t>ANGELAFORWILLISTON.COM</t>
  </si>
  <si>
    <t>CHI 21</t>
  </si>
  <si>
    <t>DAISY BERBECO</t>
  </si>
  <si>
    <t>WINOOSKI</t>
  </si>
  <si>
    <t>05404</t>
  </si>
  <si>
    <t>(802) 391-4112</t>
  </si>
  <si>
    <t>DAISYBERBECOVT@GMAIL.COM</t>
  </si>
  <si>
    <t>WWW.DAISYFORWINOOSKI.COM</t>
  </si>
  <si>
    <t>TAYLOR SMALL</t>
  </si>
  <si>
    <t>PO BOX 543</t>
  </si>
  <si>
    <t>(802) 391-0569</t>
  </si>
  <si>
    <t>TAYLOR@TAYLORSMALLVT.COM</t>
  </si>
  <si>
    <t>TAYLORSMALLVT.COM</t>
  </si>
  <si>
    <t>LEONORA DODGE</t>
  </si>
  <si>
    <t>PO BOX 8150</t>
  </si>
  <si>
    <t>(802) 871-5449</t>
  </si>
  <si>
    <t>LEONORA4VERMONT@GMAIL.COM</t>
  </si>
  <si>
    <t>WWW.LEONORAFORVERMONT.ORG</t>
  </si>
  <si>
    <t>CHI 3</t>
  </si>
  <si>
    <t>EDYE GRANING</t>
  </si>
  <si>
    <t>JERICHO</t>
  </si>
  <si>
    <t>44 MANSFIELD DR</t>
  </si>
  <si>
    <t>05465</t>
  </si>
  <si>
    <t>(802) 899-3207</t>
  </si>
  <si>
    <t>EDYE.GRANING@GMAIL.COM</t>
  </si>
  <si>
    <t>TREVOR SQUIRRELL</t>
  </si>
  <si>
    <t>UNDERHILL</t>
  </si>
  <si>
    <t>PO BOX 128</t>
  </si>
  <si>
    <t>05490</t>
  </si>
  <si>
    <t>(802) 324-2601</t>
  </si>
  <si>
    <t>TSQUIRRE@SOVER.NET</t>
  </si>
  <si>
    <t>CHI 7</t>
  </si>
  <si>
    <t>JESSICA BRUMSTED</t>
  </si>
  <si>
    <t>228 CASPIAN LN</t>
  </si>
  <si>
    <t>(802) 233-2120</t>
  </si>
  <si>
    <t>JESSICA.BRUMSTED@ICLOUD.COM</t>
  </si>
  <si>
    <t>FRA 6</t>
  </si>
  <si>
    <t>BRENDA KAI CHURCHILL</t>
  </si>
  <si>
    <t>BAKERSFIELD</t>
  </si>
  <si>
    <t>3919 E BAKERSFIELD RD</t>
  </si>
  <si>
    <t>ENOSBURG</t>
  </si>
  <si>
    <t>(802) 238-1448</t>
  </si>
  <si>
    <t>FRIENDSOFBRENDACHURCHILL@GMAIL.COM</t>
  </si>
  <si>
    <t>WWW.VOTEBRENDACHURCHILL.COM</t>
  </si>
  <si>
    <t>SCOTT WEATHERS</t>
  </si>
  <si>
    <t>STOWE</t>
  </si>
  <si>
    <t>PO BOX 713</t>
  </si>
  <si>
    <t>05672</t>
  </si>
  <si>
    <t>(802) 444-1624</t>
  </si>
  <si>
    <t>SCOTT.WEATHERS@MAIL.HARVARD.EDU</t>
  </si>
  <si>
    <t>SCOTTWEATHERS.COM</t>
  </si>
  <si>
    <t>SAUDIA LAMONT</t>
  </si>
  <si>
    <t>PO BOX 333</t>
  </si>
  <si>
    <t>MORRISVILLE</t>
  </si>
  <si>
    <t>(802) 335-2334</t>
  </si>
  <si>
    <t>LAMONTFORVERMONT@GMAIL.COM</t>
  </si>
  <si>
    <t>LAMONTFORVERMONT.COM</t>
  </si>
  <si>
    <t>LANCE MILLS</t>
  </si>
  <si>
    <t>FAIRLEE</t>
  </si>
  <si>
    <t>58 BURNING MOON RD</t>
  </si>
  <si>
    <t>05045</t>
  </si>
  <si>
    <t>(802) 318-8146</t>
  </si>
  <si>
    <t>LANCEVMILLS@YAHOO.COM</t>
  </si>
  <si>
    <t>RUT 3</t>
  </si>
  <si>
    <t>MARY DROEGE</t>
  </si>
  <si>
    <t>CASTLETON</t>
  </si>
  <si>
    <t>916 PENCIL MILL RD</t>
  </si>
  <si>
    <t>05735</t>
  </si>
  <si>
    <t>(802) 273-3674</t>
  </si>
  <si>
    <t>MARYDROEGE4CASTLETON@GMAIL.COM</t>
  </si>
  <si>
    <t>WAS 5</t>
  </si>
  <si>
    <t>ZACHARY SULLIVAN</t>
  </si>
  <si>
    <t>EAST MONTPELIER</t>
  </si>
  <si>
    <t>105 BOULDER RIDGE RD</t>
  </si>
  <si>
    <t>05651</t>
  </si>
  <si>
    <t>(413) 207-1716</t>
  </si>
  <si>
    <t>ZSULLIVAN@GMAIL.COM</t>
  </si>
  <si>
    <t>BRAM TOWBIN</t>
  </si>
  <si>
    <t>PLAINFIELD</t>
  </si>
  <si>
    <t>PO BOX 708</t>
  </si>
  <si>
    <t>(802) 476-5789</t>
  </si>
  <si>
    <t>HIHOAU@GMAIL.COM</t>
  </si>
  <si>
    <t>WWW.BRAMTOWBIN.COM</t>
  </si>
  <si>
    <t>THOMAS STEVENS</t>
  </si>
  <si>
    <t>12 WINOOSKI ST</t>
  </si>
  <si>
    <t>WDH 7</t>
  </si>
  <si>
    <t>EMILIE KORNHEISER</t>
  </si>
  <si>
    <t>528 GOODENOUGH RD</t>
  </si>
  <si>
    <t>(802) 246-1213</t>
  </si>
  <si>
    <t>EKORNHEISER@GMAIL.COM</t>
  </si>
  <si>
    <t>EMILIEKORNHEISER.ORG</t>
  </si>
  <si>
    <t>WDH 9</t>
  </si>
  <si>
    <t>TRISTAN TOLENO</t>
  </si>
  <si>
    <t>33 HIGHLAWN RD</t>
  </si>
  <si>
    <t>(802) 579-5511</t>
  </si>
  <si>
    <t>TTOLENO@GMAIL.COM</t>
  </si>
  <si>
    <t>WDR 1</t>
  </si>
  <si>
    <t>JOHN BARTHOLOMEW</t>
  </si>
  <si>
    <t>HARTLAND</t>
  </si>
  <si>
    <t>23 LINDEN RD</t>
  </si>
  <si>
    <t>05048</t>
  </si>
  <si>
    <t>(802) 230-6033</t>
  </si>
  <si>
    <t>BARTHOJ@VERMONTEL.NET</t>
  </si>
  <si>
    <t>JOHNBARTHOLOMEW.ORG</t>
  </si>
  <si>
    <t>PAUL S. BELASKI</t>
  </si>
  <si>
    <t>56 BELASKI RD</t>
  </si>
  <si>
    <t>(802) 674-2713</t>
  </si>
  <si>
    <t>PAULBELASKI@GMAIL.COM</t>
  </si>
  <si>
    <t>WDR 6</t>
  </si>
  <si>
    <t>NICHOLAS BRAMLAGE</t>
  </si>
  <si>
    <t>HARTFORD</t>
  </si>
  <si>
    <t>169 WOODHAVEN DR, 2H</t>
  </si>
  <si>
    <t>WHITE RIVER JCT.</t>
  </si>
  <si>
    <t>05001</t>
  </si>
  <si>
    <t>(802) 213-5585</t>
  </si>
  <si>
    <t>INFO@NICHOLASBRAMLAGE.ORG</t>
  </si>
  <si>
    <t>KATHRYN A.C. KENNEDY</t>
  </si>
  <si>
    <t>BRAINTREE</t>
  </si>
  <si>
    <t>2117 BRAINSTORM RD</t>
  </si>
  <si>
    <t>(802) 728-9543</t>
  </si>
  <si>
    <t>K.KENNEDY.ESQ@GMAIL.COM</t>
  </si>
  <si>
    <t>JODI P. FRENCH</t>
  </si>
  <si>
    <t>PO BOX 7</t>
  </si>
  <si>
    <t>WEST DUMMERSTON</t>
  </si>
  <si>
    <t>05357</t>
  </si>
  <si>
    <t>(802) 254-9000</t>
  </si>
  <si>
    <t>JODI@FRENCHANDFRENCHLAW.COM</t>
  </si>
  <si>
    <t>P.O. BOX 4252</t>
  </si>
  <si>
    <t>MADELINE M. MOTTA</t>
  </si>
  <si>
    <t>189 BLACK BEAR RUN</t>
  </si>
  <si>
    <t>(802) 253-4505</t>
  </si>
  <si>
    <t>MADELINEMMOTTA@AOL.COM</t>
  </si>
  <si>
    <t>BRET MEYER</t>
  </si>
  <si>
    <t>34 CANO DR</t>
  </si>
  <si>
    <t>(802) 479-0342</t>
  </si>
  <si>
    <t>BRETMEYER1962@GMAIL.COM</t>
  </si>
  <si>
    <t>TED KENNEY</t>
  </si>
  <si>
    <t>46 LAWNWOOD DR</t>
  </si>
  <si>
    <t>(802) 735-5728</t>
  </si>
  <si>
    <t>TEDKENNEYVT@GMAIL.COM</t>
  </si>
  <si>
    <t>TEDFORSTATESATTORNEY.COM</t>
  </si>
  <si>
    <t>JOHN LAVOIE</t>
  </si>
  <si>
    <t>80 UPPER WELDEN ST</t>
  </si>
  <si>
    <t>881 TOWN LINE RD</t>
  </si>
  <si>
    <t>DAN GAMELIN</t>
  </si>
  <si>
    <t>P.O. BOX 59</t>
  </si>
  <si>
    <t>05402</t>
  </si>
  <si>
    <t>(802) 355-1503</t>
  </si>
  <si>
    <t>DAN@DANGAMELIN.COM</t>
  </si>
  <si>
    <t>WWW.DANGAMELIN.COM</t>
  </si>
  <si>
    <t>MICHAEL R. MAJOR</t>
  </si>
  <si>
    <t>128 MAPLE LEAF LN</t>
  </si>
  <si>
    <t>(802) 777-9144</t>
  </si>
  <si>
    <t>ROJAMVT@AOL.COM</t>
  </si>
  <si>
    <t>GERALD MALLOY</t>
  </si>
  <si>
    <t>WEATHERSFIELD</t>
  </si>
  <si>
    <t>05151</t>
  </si>
  <si>
    <t>(802) 263-5405</t>
  </si>
  <si>
    <t>DEPLOYMALLOY.COM</t>
  </si>
  <si>
    <t>GREGORY M. THAYER</t>
  </si>
  <si>
    <t>PO BOX 702</t>
  </si>
  <si>
    <t>(802) 417-7736</t>
  </si>
  <si>
    <t>JOHN KLAR</t>
  </si>
  <si>
    <t>BROOKFIELD</t>
  </si>
  <si>
    <t>625 CEMETERY STREET</t>
  </si>
  <si>
    <t>05036</t>
  </si>
  <si>
    <t>(802) 673-4852</t>
  </si>
  <si>
    <t>FARMERJOHNKLAR@GMAIL.COM</t>
  </si>
  <si>
    <t>KLARFORSENATE.COM</t>
  </si>
  <si>
    <t>BRIAN "BC" COLLAMORE</t>
  </si>
  <si>
    <t>RUTLAND TOWN</t>
  </si>
  <si>
    <t>124 PATRICIA LN</t>
  </si>
  <si>
    <t>(802) 773-1365</t>
  </si>
  <si>
    <t>BCOLLAM@AOL.COM</t>
  </si>
  <si>
    <t>DAVID "DAVE" WEEKS</t>
  </si>
  <si>
    <t>PROCTOR</t>
  </si>
  <si>
    <t>35 WARNER AVE</t>
  </si>
  <si>
    <t>05765</t>
  </si>
  <si>
    <t>(802) 417-9013</t>
  </si>
  <si>
    <t>WEEKSFORVTSTATESENATE.COM</t>
  </si>
  <si>
    <t>TERRY K. WILLIAMS</t>
  </si>
  <si>
    <t>POULTNEY</t>
  </si>
  <si>
    <t>319 RUBY RD</t>
  </si>
  <si>
    <t>05764</t>
  </si>
  <si>
    <t>(802) 287-4576</t>
  </si>
  <si>
    <t>ROB NORTH</t>
  </si>
  <si>
    <t>FERRISBURGH</t>
  </si>
  <si>
    <t>112 FIELD RD</t>
  </si>
  <si>
    <t>05456</t>
  </si>
  <si>
    <t>(802) 349-1663</t>
  </si>
  <si>
    <t>NORTH.VTHOUSE@GMAIL.COM</t>
  </si>
  <si>
    <t>NORTHFORVTHOUSE.COM</t>
  </si>
  <si>
    <t>VALERIE MULLIN</t>
  </si>
  <si>
    <t>MONKTON</t>
  </si>
  <si>
    <t>91 DART HILL RD</t>
  </si>
  <si>
    <t>NORTH FERRISBURGH</t>
  </si>
  <si>
    <t>05473</t>
  </si>
  <si>
    <t>(802) 425-3768</t>
  </si>
  <si>
    <t>VMULLIN@GMAVT.NET</t>
  </si>
  <si>
    <t>CAL 3</t>
  </si>
  <si>
    <t>CHARLES WILSON</t>
  </si>
  <si>
    <t>PO BOX 1582</t>
  </si>
  <si>
    <t>SCOTT BECK</t>
  </si>
  <si>
    <t>93 OVERLOOK CIR</t>
  </si>
  <si>
    <t>(802) 274-0201</t>
  </si>
  <si>
    <t>SCOTTBECK7@GMAIL.COM</t>
  </si>
  <si>
    <t>SCOTTBECK4VERMONT.COM</t>
  </si>
  <si>
    <t>CHI FRA</t>
  </si>
  <si>
    <t>CHRIS MATTOS</t>
  </si>
  <si>
    <t>37 SMITH RD</t>
  </si>
  <si>
    <t>(802) 922-2059</t>
  </si>
  <si>
    <t>CHRIS.MATTOSVT@GMAIL.COM</t>
  </si>
  <si>
    <t>JOHN KASCENSKA</t>
  </si>
  <si>
    <t>BURKE</t>
  </si>
  <si>
    <t>EAST BURKE</t>
  </si>
  <si>
    <t>05832</t>
  </si>
  <si>
    <t>(802) 274-4112</t>
  </si>
  <si>
    <t>KASCENSKAFORVT@GMAIL.COM</t>
  </si>
  <si>
    <t>LARRY LABOR</t>
  </si>
  <si>
    <t>MORGAN</t>
  </si>
  <si>
    <t>1000 OLD BLAKE FARM ROAD</t>
  </si>
  <si>
    <t>05853</t>
  </si>
  <si>
    <t>(802) 895-4112</t>
  </si>
  <si>
    <t>LLABOR247@OUTLOOK.COM</t>
  </si>
  <si>
    <t>ERIN TESTUT</t>
  </si>
  <si>
    <t>BRIGHTON</t>
  </si>
  <si>
    <t>PO BOX 243</t>
  </si>
  <si>
    <t>ISLAND POND</t>
  </si>
  <si>
    <t>05846</t>
  </si>
  <si>
    <t>(603) 348-4034</t>
  </si>
  <si>
    <t>BIGTESTUT@GMAIL.COM</t>
  </si>
  <si>
    <t>FRA 2</t>
  </si>
  <si>
    <t>EILEEN "LYNN" DICKINSON</t>
  </si>
  <si>
    <t>69 BUTTON RD</t>
  </si>
  <si>
    <t>(802) 355-0484</t>
  </si>
  <si>
    <t>LYNNDICKINSON70@COMCAST.NET</t>
  </si>
  <si>
    <t>JAMES GREGOIRE</t>
  </si>
  <si>
    <t>FAIRFIELD</t>
  </si>
  <si>
    <t>4668 VT ROUTE 36</t>
  </si>
  <si>
    <t>05455</t>
  </si>
  <si>
    <t>(802) 933-2667</t>
  </si>
  <si>
    <t>JAMES.GREGOOIRE10@GMAIL.COM</t>
  </si>
  <si>
    <t>WWW.JAMESGREGOIRE.COM</t>
  </si>
  <si>
    <t>LAM 3</t>
  </si>
  <si>
    <t>REBECCA PITRE</t>
  </si>
  <si>
    <t>WATERVILLE</t>
  </si>
  <si>
    <t>2949 VT ROUTE 109</t>
  </si>
  <si>
    <t>05492</t>
  </si>
  <si>
    <t>(410) 708-8602</t>
  </si>
  <si>
    <t>RPITRE@TUTANOTA.COM</t>
  </si>
  <si>
    <t>JACKIE KLAR</t>
  </si>
  <si>
    <t>(802) 565-0079</t>
  </si>
  <si>
    <t>FARMERJACQUIKLAR@GMAIL.COM</t>
  </si>
  <si>
    <t>WAYNE D. TOWNSEND</t>
  </si>
  <si>
    <t>58 GREENE HILL DR</t>
  </si>
  <si>
    <t>(802) 855-1617</t>
  </si>
  <si>
    <t>WAYNETOWNSEND53@YAHOO.COM</t>
  </si>
  <si>
    <t>VICKI STRONG</t>
  </si>
  <si>
    <t>ALBANY</t>
  </si>
  <si>
    <t>1367 CREEK RD</t>
  </si>
  <si>
    <t>05820</t>
  </si>
  <si>
    <t>(802) 754-2790</t>
  </si>
  <si>
    <t>VICTORIASTRONG@JUNO.COM</t>
  </si>
  <si>
    <t>VICKISTRONG.COM</t>
  </si>
  <si>
    <t>PATRICIA A. MCCOY</t>
  </si>
  <si>
    <t>1392 HIGH RD</t>
  </si>
  <si>
    <t>(802) 287-9625</t>
  </si>
  <si>
    <t>PATTIE.MCCOY5@GMAIL.COM</t>
  </si>
  <si>
    <t>RUT 10</t>
  </si>
  <si>
    <t>WILLIAM "BILL" CANFIELD</t>
  </si>
  <si>
    <t>FAIR HAVEN</t>
  </si>
  <si>
    <t>12 PINE ST</t>
  </si>
  <si>
    <t>05743</t>
  </si>
  <si>
    <t>RUT 11</t>
  </si>
  <si>
    <t>JIM HARRISON</t>
  </si>
  <si>
    <t>75 LAZY ACRES RD</t>
  </si>
  <si>
    <t>05737</t>
  </si>
  <si>
    <t>(802) 236-3001</t>
  </si>
  <si>
    <t>JIM.HARRISON.VT@GMAIL.COM</t>
  </si>
  <si>
    <t>WWW.HARRISONFORVERMONT.COM</t>
  </si>
  <si>
    <t>157 E TINMOUTH RD</t>
  </si>
  <si>
    <t>JARROD E. SAMMIS</t>
  </si>
  <si>
    <t>PO BOX 14</t>
  </si>
  <si>
    <t>(518) 694-1931</t>
  </si>
  <si>
    <t>JARRODSAMMISFORVERMONT@GMAIL.COM</t>
  </si>
  <si>
    <t>RUT 5</t>
  </si>
  <si>
    <t>ERIC MAGUIRE</t>
  </si>
  <si>
    <t>105 JACKSON AVE</t>
  </si>
  <si>
    <t>(802) 585-0582</t>
  </si>
  <si>
    <t>EMAGUIRE73@GMAIL.COM</t>
  </si>
  <si>
    <t>RUT BEN</t>
  </si>
  <si>
    <t>SALLY ACHEY</t>
  </si>
  <si>
    <t>MIDDLETOWN SPRINGS</t>
  </si>
  <si>
    <t>350 DAISY HOLLOW RD</t>
  </si>
  <si>
    <t>05757</t>
  </si>
  <si>
    <t>(802) 235-2434</t>
  </si>
  <si>
    <t>(802) 438-3345</t>
  </si>
  <si>
    <t>SALLYACHEY@GMAIL.COM</t>
  </si>
  <si>
    <t>WWW.SALLYVTREP.COM</t>
  </si>
  <si>
    <t>KENNETH W. GOSLANT</t>
  </si>
  <si>
    <t>PO BOX 348</t>
  </si>
  <si>
    <t>(802) 249-7375</t>
  </si>
  <si>
    <t>KGOSLANT33@GMAIL.COM</t>
  </si>
  <si>
    <t>TYLER AUSTIN</t>
  </si>
  <si>
    <t>406 RIVER RD</t>
  </si>
  <si>
    <t>WESTMINSTER WEST</t>
  </si>
  <si>
    <t>BONNIE DEPINO</t>
  </si>
  <si>
    <t>255 MINARD RD</t>
  </si>
  <si>
    <t>(802) 869-7159</t>
  </si>
  <si>
    <t>BONN4LIBERTY@GMAIL.COM</t>
  </si>
  <si>
    <t>KARL C. ANDERSON</t>
  </si>
  <si>
    <t>128 MERCHANTS ROW SUITE 709</t>
  </si>
  <si>
    <t>(802) 779-1067</t>
  </si>
  <si>
    <t>KARL@LAWYERS.ORG</t>
  </si>
  <si>
    <t>912 HATHAWAY POINT RD</t>
  </si>
  <si>
    <t>PETER WELCH</t>
  </si>
  <si>
    <t>NORWICH</t>
  </si>
  <si>
    <t>PO BOX 909</t>
  </si>
  <si>
    <t>HELLO@WELCHFORVERMONT.COM</t>
  </si>
  <si>
    <t>WELCHFORVERMONT.COM</t>
  </si>
  <si>
    <t>BECCA BALINT</t>
  </si>
  <si>
    <t>PO BOX 291</t>
  </si>
  <si>
    <t>(347) 461-4982</t>
  </si>
  <si>
    <t>BECCA@BECCABALINT.COM</t>
  </si>
  <si>
    <t>BECCABALINT.COM</t>
  </si>
  <si>
    <t>MOLLY GRAY</t>
  </si>
  <si>
    <t>70 SOUTH WINOOSKI STREET #221</t>
  </si>
  <si>
    <t>(802) 922-2366</t>
  </si>
  <si>
    <t>INFO@MOLLYFORVERMONT.COM</t>
  </si>
  <si>
    <t>MOLLYFORVERMONT.COM</t>
  </si>
  <si>
    <t>MIKE PIECIAK</t>
  </si>
  <si>
    <t>32 MAIN STREET #112</t>
  </si>
  <si>
    <t>(802) 299-6121</t>
  </si>
  <si>
    <t>MIKE@MIKEFORVERMONT.COM</t>
  </si>
  <si>
    <t>MIKEFORVERMONT.COM</t>
  </si>
  <si>
    <t>DOUG HOFFER</t>
  </si>
  <si>
    <t>210 EAST REDROCK DRIVE</t>
  </si>
  <si>
    <t>(802) 864-5711</t>
  </si>
  <si>
    <t>DRHOFFER@COMCAST.NET</t>
  </si>
  <si>
    <t>CHRISTOPHER BRAY</t>
  </si>
  <si>
    <t>20 NORTH ST, UNIT A</t>
  </si>
  <si>
    <t>(802) 371-8183</t>
  </si>
  <si>
    <t>CHRIS@BRAYFORVERMONT.US</t>
  </si>
  <si>
    <t>WWW.BRAYFORVERMONT.US</t>
  </si>
  <si>
    <t>RUTH HARDY</t>
  </si>
  <si>
    <t>PO BOX 343</t>
  </si>
  <si>
    <t>EAST MIDDLEBURY</t>
  </si>
  <si>
    <t>(802) 989-5278</t>
  </si>
  <si>
    <t>RUTHFORVERMONT@GMAIL.COM</t>
  </si>
  <si>
    <t>RUTHFORVERMONT.COM</t>
  </si>
  <si>
    <t>ANDREW BROWN</t>
  </si>
  <si>
    <t>35 BRICKYARD RD, 6</t>
  </si>
  <si>
    <t>(802) 598-8162</t>
  </si>
  <si>
    <t>BROWN.P.ANDREW@GMAIL.COM</t>
  </si>
  <si>
    <t>WWW.802ANDREW.COM</t>
  </si>
  <si>
    <t>MARTINE LAROCQUE GULICK</t>
  </si>
  <si>
    <t>39 NOTTINGHAM LN</t>
  </si>
  <si>
    <t>(802) 488-4445</t>
  </si>
  <si>
    <t>MARTINEGULICK@GMAIL.COM</t>
  </si>
  <si>
    <t>TANYA VYHOVSKY</t>
  </si>
  <si>
    <t>P.O. BOX 8376</t>
  </si>
  <si>
    <t>(802) 316-8329</t>
  </si>
  <si>
    <t>TANYA@TANYAVFORVT.COM</t>
  </si>
  <si>
    <t>TANYAVFORVT.COM</t>
  </si>
  <si>
    <t>STEVE MAY</t>
  </si>
  <si>
    <t>P.O. BOX 222</t>
  </si>
  <si>
    <t>(781) 898-5296</t>
  </si>
  <si>
    <t>STEVE@STEVEFORVERMONT.COM</t>
  </si>
  <si>
    <t>STEVEFORVERMONT.COM</t>
  </si>
  <si>
    <t>JESSIE NAKUMA PALCZEWSKI</t>
  </si>
  <si>
    <t>1810 LOWER NEWTON RD</t>
  </si>
  <si>
    <t>(915) 240-9714</t>
  </si>
  <si>
    <t>NAKUMA4VT@GMAIL.COM</t>
  </si>
  <si>
    <t>MARK A. MACDONALD</t>
  </si>
  <si>
    <t>WILLIAMSTOWN</t>
  </si>
  <si>
    <t>404 MACDONALD RD</t>
  </si>
  <si>
    <t>05679</t>
  </si>
  <si>
    <t>(802) 272-1101</t>
  </si>
  <si>
    <t>SENATORMARK@AOL.COM</t>
  </si>
  <si>
    <t>BRIDGETTE REMINGTON</t>
  </si>
  <si>
    <t>188 SHOPPING PLAZA RD #222</t>
  </si>
  <si>
    <t>SENATE@REMINGTONFORVT.COM</t>
  </si>
  <si>
    <t>Duval Jared FD_1cc5b219-18bd-410f-8c84-be19591604fd.pdf</t>
  </si>
  <si>
    <t>JEREMY HANSEN</t>
  </si>
  <si>
    <t>204 BURELLI FARM DR</t>
  </si>
  <si>
    <t>(802) 279-6054</t>
  </si>
  <si>
    <t>JEREMYHANSEN@PROTONMAIL.COM</t>
  </si>
  <si>
    <t>JEREMYFORVT.COM</t>
  </si>
  <si>
    <t>ANNE WATSON</t>
  </si>
  <si>
    <t>221 BARRE ST, #203</t>
  </si>
  <si>
    <t>(802) 595-1734</t>
  </si>
  <si>
    <t>WATSONFORVTSENATE@GMAIL.COM</t>
  </si>
  <si>
    <t>ANNEWATSONFORVTSENATE.COM</t>
  </si>
  <si>
    <t>WENDY HARRISON</t>
  </si>
  <si>
    <t>34 TYLER ST</t>
  </si>
  <si>
    <t>(802) 922-8519</t>
  </si>
  <si>
    <t>INFO@WENDY4WINDHAMVT.ORG</t>
  </si>
  <si>
    <t>WWW.WENDY4WINDHAMVT.ORG</t>
  </si>
  <si>
    <t>NADER HASHIM</t>
  </si>
  <si>
    <t>DUMMERSTON</t>
  </si>
  <si>
    <t>655 CANOE BROOK ROAD</t>
  </si>
  <si>
    <t>(401) 374-0528</t>
  </si>
  <si>
    <t>NADERHASHIM.VT@GMAIL.COM</t>
  </si>
  <si>
    <t>WWW.HASHIMFORSENATE.COM</t>
  </si>
  <si>
    <t>ADD 2</t>
  </si>
  <si>
    <t>PETER CONLON</t>
  </si>
  <si>
    <t>33 WEST ST</t>
  </si>
  <si>
    <t>(802) 349-7247</t>
  </si>
  <si>
    <t>PETERC@SHOREHAM.NET</t>
  </si>
  <si>
    <t>CONLONFORHOUSE.COM</t>
  </si>
  <si>
    <t>DANE WHITMAN</t>
  </si>
  <si>
    <t>34 PO BOX 833</t>
  </si>
  <si>
    <t>N BENNINGTON</t>
  </si>
  <si>
    <t>(802) 227-7976</t>
  </si>
  <si>
    <t>INFO@DANEFORBENNINGTON.COM</t>
  </si>
  <si>
    <t>DANEFORBENNINGTON.COM</t>
  </si>
  <si>
    <t>DAVID K. DURFEE</t>
  </si>
  <si>
    <t>616 VT ROUTE 7A</t>
  </si>
  <si>
    <t>(802) 440-0936</t>
  </si>
  <si>
    <t>DURFEEFORVERMONT@GMAIL.COM</t>
  </si>
  <si>
    <t>WWW.DURFEEFORVERMONT.COM</t>
  </si>
  <si>
    <t>JIM CARROLL</t>
  </si>
  <si>
    <t>106 SCHOOL ST, 1</t>
  </si>
  <si>
    <t>JIM_CARROLL2000@YAHOO.COM</t>
  </si>
  <si>
    <t>EILEEN BOLAND</t>
  </si>
  <si>
    <t>WHEELOCK</t>
  </si>
  <si>
    <t>4121 TAMPICO ROAD</t>
  </si>
  <si>
    <t>DANVILLE</t>
  </si>
  <si>
    <t>05828</t>
  </si>
  <si>
    <t>DENNIS LABOUNTY</t>
  </si>
  <si>
    <t>293 COTTON RD</t>
  </si>
  <si>
    <t>D Labounty Financial Disclosure Statement Form_ae23dfa9-ced8-452a-b526-4c73388e560a.pdf</t>
  </si>
  <si>
    <t>CAL WAS</t>
  </si>
  <si>
    <t>HENRY PEARL</t>
  </si>
  <si>
    <t>476 PEARL RD</t>
  </si>
  <si>
    <t>(802) 535-9409</t>
  </si>
  <si>
    <t>HPEARL@LEG.STATE.VT.US</t>
  </si>
  <si>
    <t>PO BOX 66</t>
  </si>
  <si>
    <t>CHI 10</t>
  </si>
  <si>
    <t>KATE NUGENT</t>
  </si>
  <si>
    <t>18 BARRETT ST</t>
  </si>
  <si>
    <t>(508) 364-8265</t>
  </si>
  <si>
    <t>KATENUGENT@GMAIL.COM</t>
  </si>
  <si>
    <t>CHI 11</t>
  </si>
  <si>
    <t>BRIAN MINIER</t>
  </si>
  <si>
    <t>71 MEADOW RD</t>
  </si>
  <si>
    <t>(802) 777-9647</t>
  </si>
  <si>
    <t>MINIER4VTHOUSE@GMAIL.COM</t>
  </si>
  <si>
    <t>CHI 14</t>
  </si>
  <si>
    <t>BARBARA RACHELSON</t>
  </si>
  <si>
    <t>205 SUMMIT ST</t>
  </si>
  <si>
    <t>(802) 373-0846</t>
  </si>
  <si>
    <t>BARBARA.RACHELSON@GMAIL.COM</t>
  </si>
  <si>
    <t>BARBARARACHELSON.COM</t>
  </si>
  <si>
    <t>MARY-KATHERINE STONE</t>
  </si>
  <si>
    <t>297 COLLEGE ST, C6</t>
  </si>
  <si>
    <t>(205) 353-2142</t>
  </si>
  <si>
    <t>STONEFORVERMONT@GMAIL.COM</t>
  </si>
  <si>
    <t>WWW.STONEFORVERMONT.COM</t>
  </si>
  <si>
    <t>BRIAN CINA</t>
  </si>
  <si>
    <t>12 ISHAM ST, 1/2</t>
  </si>
  <si>
    <t>(802) 233-9131</t>
  </si>
  <si>
    <t>CINAFORHOUSE@GMAIL.COM</t>
  </si>
  <si>
    <t>WWW.CINAFORHOUSE.COM</t>
  </si>
  <si>
    <t>CHI 16</t>
  </si>
  <si>
    <t>RYAN ADDARIO</t>
  </si>
  <si>
    <t>131 MAIN ST, 307</t>
  </si>
  <si>
    <t>(860) 368-8030</t>
  </si>
  <si>
    <t>JILL KROWINSKI</t>
  </si>
  <si>
    <t>31 SPRING ST</t>
  </si>
  <si>
    <t>(802) 324-9246</t>
  </si>
  <si>
    <t>JILL.KROWINSKI@GMAIL.COM</t>
  </si>
  <si>
    <t>WWW.JILLKROWINSKI.COM</t>
  </si>
  <si>
    <t>KATE LOGAN</t>
  </si>
  <si>
    <t>37 BRIGHT ST, 109</t>
  </si>
  <si>
    <t>(802) 552-8206</t>
  </si>
  <si>
    <t>KATELOGANFORHOUSE@GMAIL.COM</t>
  </si>
  <si>
    <t>KATELOGANFORHOUSE.COM</t>
  </si>
  <si>
    <t>CHI 17</t>
  </si>
  <si>
    <t>EMMA MULVANEY-STANAK</t>
  </si>
  <si>
    <t>79 FRONT ST</t>
  </si>
  <si>
    <t>(802) 448-0838</t>
  </si>
  <si>
    <t>EMMAFORVTHOUSE@GMAIL.COM</t>
  </si>
  <si>
    <t>WWW.EMMAFORVTHOUSE.COM</t>
  </si>
  <si>
    <t>ROBERT HOOPER</t>
  </si>
  <si>
    <t>3 GREY MEADOW DR</t>
  </si>
  <si>
    <t>HOOPER4HOUSE2018@GMAIL.COM</t>
  </si>
  <si>
    <t>BOBHOOPER.ORG</t>
  </si>
  <si>
    <t>CHI 19</t>
  </si>
  <si>
    <t>SARITA AUSTIN</t>
  </si>
  <si>
    <t>285 CROOKED CREEK RD</t>
  </si>
  <si>
    <t>(802) 310-4698</t>
  </si>
  <si>
    <t>(802) 210-4698</t>
  </si>
  <si>
    <t>SARITAAUSTIN@GMAIL.COM</t>
  </si>
  <si>
    <t>CHI 20</t>
  </si>
  <si>
    <t>SETH CHASE</t>
  </si>
  <si>
    <t>PO BOX 131</t>
  </si>
  <si>
    <t>(802) 662-0787</t>
  </si>
  <si>
    <t>CHASE4VT@GMAIL.COM</t>
  </si>
  <si>
    <t>FACEBOOK.COM/CHASE4VT</t>
  </si>
  <si>
    <t>CURT TAYLOR</t>
  </si>
  <si>
    <t>436 SUNDERLAND WOODS RD</t>
  </si>
  <si>
    <t>(802) 324-7188</t>
  </si>
  <si>
    <t>CURTTAYLORVT@GMAIL.COM</t>
  </si>
  <si>
    <t>CT4VT.COM</t>
  </si>
  <si>
    <t>CHI 4</t>
  </si>
  <si>
    <t>CHRISTINA DEELEY</t>
  </si>
  <si>
    <t>442 PINE SHORE DR</t>
  </si>
  <si>
    <t>(802) 799-2051</t>
  </si>
  <si>
    <t>CHRISTINA@DEELEYFORVT.COM</t>
  </si>
  <si>
    <t>DEELEYFORVT.COM</t>
  </si>
  <si>
    <t>PHIL POUECH</t>
  </si>
  <si>
    <t>67 NEW SOUTH FARM</t>
  </si>
  <si>
    <t>(802) 482-2060</t>
  </si>
  <si>
    <t>PPOUECH@GMAVT.NET</t>
  </si>
  <si>
    <t>CHEA WATERS EVANS</t>
  </si>
  <si>
    <t>181 WINDSWEPT LN</t>
  </si>
  <si>
    <t>CHI 8</t>
  </si>
  <si>
    <t>NOAH HYMAN</t>
  </si>
  <si>
    <t>1575 DORSET ST</t>
  </si>
  <si>
    <t>(267) 243-8490</t>
  </si>
  <si>
    <t>NOAHEHYMAN@GMAIL.COM</t>
  </si>
  <si>
    <t>CHI 9</t>
  </si>
  <si>
    <t>EMILY KRASNOW</t>
  </si>
  <si>
    <t>P.O. BOX 2142</t>
  </si>
  <si>
    <t>05407</t>
  </si>
  <si>
    <t>(802) 922-5885</t>
  </si>
  <si>
    <t>EMILIE@EMILIEKRASNOW.COM</t>
  </si>
  <si>
    <t>EMILIEKRASNOW.COM</t>
  </si>
  <si>
    <t>PO BOX 8093</t>
  </si>
  <si>
    <t>LUCY BOYDEN</t>
  </si>
  <si>
    <t>44 VT ROUTE 104</t>
  </si>
  <si>
    <t>(802) 923-6379</t>
  </si>
  <si>
    <t>LUCYMBOYDEN@GMAIL.COM</t>
  </si>
  <si>
    <t>ORA CAL</t>
  </si>
  <si>
    <t>KELSEY ROOT-WINCHESTER</t>
  </si>
  <si>
    <t>NEWBURY</t>
  </si>
  <si>
    <t>PO BOX 275</t>
  </si>
  <si>
    <t>WELLS RIVER</t>
  </si>
  <si>
    <t>05081</t>
  </si>
  <si>
    <t>ROOTFORVT@GMAIL.COM</t>
  </si>
  <si>
    <t>ORA 3</t>
  </si>
  <si>
    <t>SETH KEIGHLEY</t>
  </si>
  <si>
    <t>99 PALMER ROAD</t>
  </si>
  <si>
    <t>(401) 222-0274</t>
  </si>
  <si>
    <t>SKEIGHLEY91@GMAIL.COM</t>
  </si>
  <si>
    <t>KEN FREDETTE</t>
  </si>
  <si>
    <t>369 CREEK RD</t>
  </si>
  <si>
    <t>(802) 446-3108</t>
  </si>
  <si>
    <t>KFREDETTEVT@GMAIL.COM</t>
  </si>
  <si>
    <t>KENFREDETTEFORVERMONT.COM</t>
  </si>
  <si>
    <t>CHRISTOPHER HOYT</t>
  </si>
  <si>
    <t>244 GARRON RD</t>
  </si>
  <si>
    <t>(802) 649-1671</t>
  </si>
  <si>
    <t>CHRISH888890@GMAIL.COM</t>
  </si>
  <si>
    <t>DARA TORRE</t>
  </si>
  <si>
    <t>MORETOWN</t>
  </si>
  <si>
    <t>142 MORETOWN HTS</t>
  </si>
  <si>
    <t>(802) 793-3575</t>
  </si>
  <si>
    <t>DARATORRE@GMAIL.COM</t>
  </si>
  <si>
    <t>WWW/LINKEDIN.COM/IN/DARA-TORRE-A4867941/</t>
  </si>
  <si>
    <t>RUT WDR</t>
  </si>
  <si>
    <t>LOGAN NICOLL</t>
  </si>
  <si>
    <t>11 DEPOT ST</t>
  </si>
  <si>
    <t>(802) 345-8430</t>
  </si>
  <si>
    <t>LOGANMNICOLL@GMAIL.COM</t>
  </si>
  <si>
    <t>WWW.LOGAN4VT.COM</t>
  </si>
  <si>
    <t>MERRICK MODUN</t>
  </si>
  <si>
    <t>30 SIBLEY AVE</t>
  </si>
  <si>
    <t>(802) 461-3902</t>
  </si>
  <si>
    <t>MODUMFORUS@GMAIL.COM</t>
  </si>
  <si>
    <t>MERRICKMODUN.COM</t>
  </si>
  <si>
    <t>Modun_85f79d24-e770-4654-a9bf-c8232607da1c.pdf</t>
  </si>
  <si>
    <t>POWDER HORN GLEN RD</t>
  </si>
  <si>
    <t>ELACHAPINVT.COM</t>
  </si>
  <si>
    <t>THEO KENNEDY</t>
  </si>
  <si>
    <t>MIDDLESEX</t>
  </si>
  <si>
    <t>SHADY RILL RD</t>
  </si>
  <si>
    <t>(802) 522-4829</t>
  </si>
  <si>
    <t>THEOKENNEDYFORHOUSE@GMAIL.COM</t>
  </si>
  <si>
    <t>THEOKENNEDYFORHOUSE.COM</t>
  </si>
  <si>
    <t>(802) 595-0429</t>
  </si>
  <si>
    <t>MELISSA BATTAH</t>
  </si>
  <si>
    <t>3 SILVER CIR</t>
  </si>
  <si>
    <t>(802) 595-9912</t>
  </si>
  <si>
    <t>MELISSAFORBARRETOWN@GMAIL.COM</t>
  </si>
  <si>
    <t>WWW.MELISSAFORBARRETOWN.COM</t>
  </si>
  <si>
    <t>WDH 6</t>
  </si>
  <si>
    <t>TRISTAN D. ROBERTS</t>
  </si>
  <si>
    <t>HALIFAX</t>
  </si>
  <si>
    <t>POB 384</t>
  </si>
  <si>
    <t>WILMINGTON</t>
  </si>
  <si>
    <t>05363</t>
  </si>
  <si>
    <t>(802) 275-2881</t>
  </si>
  <si>
    <t>TRISTANROBERTSHALIFAX@GMAIL.COM</t>
  </si>
  <si>
    <t>WWW.TRISTANROBERTS.CO</t>
  </si>
  <si>
    <t>ELIZABETH BURROWS</t>
  </si>
  <si>
    <t>WEST WINDSOR</t>
  </si>
  <si>
    <t>PO BOX 485</t>
  </si>
  <si>
    <t>BROWNSVILLE</t>
  </si>
  <si>
    <t>05037</t>
  </si>
  <si>
    <t>(802) 484-3174</t>
  </si>
  <si>
    <t>ELIZABETH@ELIZABETHVT.COM</t>
  </si>
  <si>
    <t>WWW.ELIZABETHVT.COM</t>
  </si>
  <si>
    <t>KEVIN "COACH" CHRISTIE</t>
  </si>
  <si>
    <t>682 CHRISTIAN ST.</t>
  </si>
  <si>
    <t>WHITE RIVER JCT</t>
  </si>
  <si>
    <t>(802) 299-0598</t>
  </si>
  <si>
    <t>KEVINC@KEVINCHRISTIE.ORG</t>
  </si>
  <si>
    <t>WWW.KEVINCHRISTIE.ORG</t>
  </si>
  <si>
    <t>ESME COLE</t>
  </si>
  <si>
    <t>53 BRICKHOUSE LANE</t>
  </si>
  <si>
    <t>(802) 356-8196</t>
  </si>
  <si>
    <t>ESME.COLE.VT@GMAIL.COM</t>
  </si>
  <si>
    <t>WDR ORA 1</t>
  </si>
  <si>
    <t>JOHN O'BRIEN</t>
  </si>
  <si>
    <t>TUNBRIDGE</t>
  </si>
  <si>
    <t>73 MOODY RD</t>
  </si>
  <si>
    <t>05077</t>
  </si>
  <si>
    <t>(802) 889-3474</t>
  </si>
  <si>
    <t>BELLWETHERFILMS@YAHOO.COM</t>
  </si>
  <si>
    <t>REBECCA HOLCOMBE</t>
  </si>
  <si>
    <t>PO BOX 170</t>
  </si>
  <si>
    <t>05055</t>
  </si>
  <si>
    <t>(805) 299-5535</t>
  </si>
  <si>
    <t>(802) 299-5535</t>
  </si>
  <si>
    <t>REBECCA@REBECCAHOLCOMBE.COM</t>
  </si>
  <si>
    <t>REBECCAHOLCOMBE.COM</t>
  </si>
  <si>
    <t>KELLY FITZGERALD GOSSELIN</t>
  </si>
  <si>
    <t>56 CONGRESS ST</t>
  </si>
  <si>
    <t>ST ALBANS</t>
  </si>
  <si>
    <t>(802) 393-1893</t>
  </si>
  <si>
    <t>TESS TAYLOR</t>
  </si>
  <si>
    <t>45 GRANITE ST, APT#2</t>
  </si>
  <si>
    <t>(802) 522-7818</t>
  </si>
  <si>
    <t>TMTAYLOR24@GMAIL.COM</t>
  </si>
  <si>
    <t>EVA P. VEKOS</t>
  </si>
  <si>
    <t>(802) 382-8686</t>
  </si>
  <si>
    <t>EVAPVEKOS@GMAIL.COM</t>
  </si>
  <si>
    <t>TODD A. SHOVE</t>
  </si>
  <si>
    <t>ELMORE</t>
  </si>
  <si>
    <t>1170 SYMONDS MILL ROAD</t>
  </si>
  <si>
    <t>(802) 888-6657</t>
  </si>
  <si>
    <t>TODDSHOVEFORSA@GMAIL.COM</t>
  </si>
  <si>
    <t>MICHELLE DONNELLY</t>
  </si>
  <si>
    <t>PO BOX 1358</t>
  </si>
  <si>
    <t>BARRE</t>
  </si>
  <si>
    <t>(917) 331-4522</t>
  </si>
  <si>
    <t>MICHELLE.FOR.SA@GMAIL.COM</t>
  </si>
  <si>
    <t>BEAU ALEXANDER SR</t>
  </si>
  <si>
    <t>P.O. BOX 486</t>
  </si>
  <si>
    <t>NORTH BENNINGTON</t>
  </si>
  <si>
    <t>GEORGE C. CONTOIS</t>
  </si>
  <si>
    <t>118 CYR ROAD</t>
  </si>
  <si>
    <t>(802) 505-0261</t>
  </si>
  <si>
    <t>KINGGEORGEANDMARY@YAHOO.COM</t>
  </si>
  <si>
    <t>SHAWN M. MCMANIS</t>
  </si>
  <si>
    <t>130 MACKENZIE DR</t>
  </si>
  <si>
    <t>(802) 461-3250</t>
  </si>
  <si>
    <t>SHAWN.MCMANIS@VERMONT.GOV</t>
  </si>
  <si>
    <t>GLENNIE FITZGERALD SEWELL</t>
  </si>
  <si>
    <t>PROGRESSIVE</t>
  </si>
  <si>
    <t>9 LANGDON ST, APT 4A</t>
  </si>
  <si>
    <t>(802) 589-0820</t>
  </si>
  <si>
    <t>GLENNIESEWELLFORVERMONT@GMAIL.COM</t>
  </si>
  <si>
    <t>SITES.GOOGLE.COM/VIEW/GLENNIESEWELLFORVERMONT</t>
  </si>
  <si>
    <t>MYERS MERMEL</t>
  </si>
  <si>
    <t>PO BOX 962</t>
  </si>
  <si>
    <t>05254</t>
  </si>
  <si>
    <t>(802) 497-8413</t>
  </si>
  <si>
    <t>INFO@MYERSMERMEL.COM</t>
  </si>
  <si>
    <t>MYERSMERMEL.COM</t>
  </si>
  <si>
    <t>ANYA TYNIO</t>
  </si>
  <si>
    <t>PO BOX 794</t>
  </si>
  <si>
    <t>(802) 673-2617</t>
  </si>
  <si>
    <t>ATYNIOFORCONGRESS.VT@GMAIL.COM</t>
  </si>
  <si>
    <t>ANYATYNIOFORCONGRESS.COM</t>
  </si>
  <si>
    <t>PETER DUVAL</t>
  </si>
  <si>
    <t>25 PINE RIDGE RD</t>
  </si>
  <si>
    <t>05489</t>
  </si>
  <si>
    <t>(802) 540-5133</t>
  </si>
  <si>
    <t>PETER@PETERFORVERMONT.EARTH</t>
  </si>
  <si>
    <t>PETERFORVERMONT.EARTH</t>
  </si>
  <si>
    <t>PHIL SCOTT</t>
  </si>
  <si>
    <t>PO BOX 988</t>
  </si>
  <si>
    <t>(802) 522-8194</t>
  </si>
  <si>
    <t>PHIL@PHILSCOTT.ORG</t>
  </si>
  <si>
    <t>PHILSCOTT.ORG</t>
  </si>
  <si>
    <t>RANDY BROCK</t>
  </si>
  <si>
    <t>2396 HIGHGATE ROAD</t>
  </si>
  <si>
    <t>44 MOCCASIN AVE</t>
  </si>
  <si>
    <t>(802) 528-9958</t>
  </si>
  <si>
    <t>BELLOWSVT2022@PROTONMAIL.COM</t>
  </si>
  <si>
    <t>47 N PLEASANT ST</t>
  </si>
  <si>
    <t>(802) 673-7773</t>
  </si>
  <si>
    <t>SAMUELDVT@GMAIL.COM</t>
  </si>
  <si>
    <t>PAUL MATTHEW BEAN</t>
  </si>
  <si>
    <t>457 N MAIN ST</t>
  </si>
  <si>
    <t>PAUL.BEAN.FOR.VERMONT@GMAIL.COM</t>
  </si>
  <si>
    <t>DWAYNE TUCKER</t>
  </si>
  <si>
    <t>95 MIDDLE RD</t>
  </si>
  <si>
    <t>(802) 279-5611</t>
  </si>
  <si>
    <t>CAMPAIGNFORDWAYNE@GMAIL.COM</t>
  </si>
  <si>
    <t>NEW HAVEN</t>
  </si>
  <si>
    <t>PO BOX 91</t>
  </si>
  <si>
    <t>05472</t>
  </si>
  <si>
    <t>(802) 545-8181</t>
  </si>
  <si>
    <t>(801) 545-8181</t>
  </si>
  <si>
    <t>JHM1234@GMAIL.COM</t>
  </si>
  <si>
    <t>JON CHRISTIANO</t>
  </si>
  <si>
    <t>1476 NORTH ST</t>
  </si>
  <si>
    <t>(802) 316-7815</t>
  </si>
  <si>
    <t>MARY A. MORRISSEY</t>
  </si>
  <si>
    <t>228 DEWEY ST</t>
  </si>
  <si>
    <t>MMORRISSEY@LEG.STATE.VT.US</t>
  </si>
  <si>
    <t>96 TANGLEWOOD DR</t>
  </si>
  <si>
    <t>(802) 863-3773</t>
  </si>
  <si>
    <t>PBRENNAN@LEG.STATE.VT.US</t>
  </si>
  <si>
    <t>DOUG WOOD</t>
  </si>
  <si>
    <t>75 WINTERGREEN DR</t>
  </si>
  <si>
    <t>(802) 373-9580</t>
  </si>
  <si>
    <t>DWOODBTV@GMAIL.COM</t>
  </si>
  <si>
    <t>SETH ADAM MANLEY</t>
  </si>
  <si>
    <t>PO BOX 5512</t>
  </si>
  <si>
    <t>05453</t>
  </si>
  <si>
    <t>(802) 373-0960</t>
  </si>
  <si>
    <t>ADAM@MANLEYFORVERMONT.US</t>
  </si>
  <si>
    <t>MANLEYFORVERMONT.US</t>
  </si>
  <si>
    <t>ROGER DRURY</t>
  </si>
  <si>
    <t>209 OLD STAGE RD</t>
  </si>
  <si>
    <t>(802) 233-3851</t>
  </si>
  <si>
    <t>SARAH J. TOSCANO</t>
  </si>
  <si>
    <t>128 BIRCHWOOD DR</t>
  </si>
  <si>
    <t>(802) 324-2190</t>
  </si>
  <si>
    <t>SARAHTOSCANOFORVT@OUTLOOK.COM</t>
  </si>
  <si>
    <t>CHRIS TAYLOR</t>
  </si>
  <si>
    <t>78 ARROWHEAD AVE</t>
  </si>
  <si>
    <t>(802) 233-7579</t>
  </si>
  <si>
    <t>CHRISTAYLORVT@GMAIL.COM</t>
  </si>
  <si>
    <t>JOE LUNEAU</t>
  </si>
  <si>
    <t>60 SMITH ST</t>
  </si>
  <si>
    <t>(802) 752-7647</t>
  </si>
  <si>
    <t>FRA 4</t>
  </si>
  <si>
    <t>THOMAS OLIVER</t>
  </si>
  <si>
    <t>106 JACOBS RUN</t>
  </si>
  <si>
    <t>(802) 777-3925</t>
  </si>
  <si>
    <t>(802) 877-3925</t>
  </si>
  <si>
    <t>MATTHEW E. WALKER</t>
  </si>
  <si>
    <t>10 COUNTRY CLUB ESTS</t>
  </si>
  <si>
    <t>(802) 782-1199</t>
  </si>
  <si>
    <t>MWALKER@JCIMAGE.COM</t>
  </si>
  <si>
    <t>CASEY TOOF</t>
  </si>
  <si>
    <t>16 CLYDE ALLEN DR</t>
  </si>
  <si>
    <t>(802) 309-3522</t>
  </si>
  <si>
    <t>CASEYTOOF@GMAIL.COM</t>
  </si>
  <si>
    <t>WWW.CASEYTOOF.COM</t>
  </si>
  <si>
    <t>RICHARD J. BAILEY</t>
  </si>
  <si>
    <t>142 HOULE RD</t>
  </si>
  <si>
    <t>(802) 760-0405</t>
  </si>
  <si>
    <t>RJBAILEYHPVT@PROTONMAIL.COM</t>
  </si>
  <si>
    <t>MALCOLM "MAC" TEALE</t>
  </si>
  <si>
    <t>811 BROOK RD</t>
  </si>
  <si>
    <t>(802) 760-8472</t>
  </si>
  <si>
    <t>TEALECONSTRUCTION@ICLOUD.COM</t>
  </si>
  <si>
    <t>SAMANTHA LEFEBVRE</t>
  </si>
  <si>
    <t>37 TRICKLE BROOK DR</t>
  </si>
  <si>
    <t>(802) 595-0901</t>
  </si>
  <si>
    <t>SMYROXY@GMAIL.COM</t>
  </si>
  <si>
    <t>SAMANTHALEFEBVREVT.COM</t>
  </si>
  <si>
    <t>RODNEY GRAHAM</t>
  </si>
  <si>
    <t>859 GRAHAM RD</t>
  </si>
  <si>
    <t>(802) 793-7526</t>
  </si>
  <si>
    <t>RODNEYGRH@AOL.COM</t>
  </si>
  <si>
    <t>JOE PARSONS</t>
  </si>
  <si>
    <t>PO BOX 46</t>
  </si>
  <si>
    <t>(802) 233-7779</t>
  </si>
  <si>
    <t>JOSEPH.PARSONSVT@GMAIL.COM</t>
  </si>
  <si>
    <t>BRIAN SMITH</t>
  </si>
  <si>
    <t>599 ANN WILSON RD</t>
  </si>
  <si>
    <t>(802) 249-5920</t>
  </si>
  <si>
    <t>(802) 766-4962</t>
  </si>
  <si>
    <t>BSMITH@LEG.STATE.VT.US</t>
  </si>
  <si>
    <t>THOMAS "TOM" BURDITT</t>
  </si>
  <si>
    <t>1118 CLARENDON AVE</t>
  </si>
  <si>
    <t>(802) 236-9257</t>
  </si>
  <si>
    <t>THOMASBURDITT@YAHOO.COM</t>
  </si>
  <si>
    <t>CYNTHIA "CINDY" LASKEVICH</t>
  </si>
  <si>
    <t>22 ENGREM AVE</t>
  </si>
  <si>
    <t>CINDYLASKEVICH@GMAIL.COM</t>
  </si>
  <si>
    <t>RUT 8</t>
  </si>
  <si>
    <t>CHARLES "BUTCH" SHAW</t>
  </si>
  <si>
    <t>PITTSFORD</t>
  </si>
  <si>
    <t>PO BOX 197</t>
  </si>
  <si>
    <t>05763</t>
  </si>
  <si>
    <t>(802) 483-2398</t>
  </si>
  <si>
    <t>BUTCHSHAWS@AOL.COM</t>
  </si>
  <si>
    <t>BRIAN JUDD</t>
  </si>
  <si>
    <t>8 NORTH ST, 1</t>
  </si>
  <si>
    <t>(802) 839-9985</t>
  </si>
  <si>
    <t>BRIANJUDDWARD2@GMAIL.COM</t>
  </si>
  <si>
    <t>THOMAS "TOM" KELLY</t>
  </si>
  <si>
    <t>35 WARREN ST</t>
  </si>
  <si>
    <t>THOMASKELLY.TOM@GMAIL.COM</t>
  </si>
  <si>
    <t>32 WINDY WOOD RD</t>
  </si>
  <si>
    <t>(802) 461-3520</t>
  </si>
  <si>
    <t>GINAGALFETTI@GMAIL.COM</t>
  </si>
  <si>
    <t>NANCY GASSETT</t>
  </si>
  <si>
    <t>VERNON</t>
  </si>
  <si>
    <t>221 WEST RD</t>
  </si>
  <si>
    <t>05354</t>
  </si>
  <si>
    <t>(802) 257-4675</t>
  </si>
  <si>
    <t>NLGASSETT@COMCAST.NET</t>
  </si>
  <si>
    <t>LYNN KURALT</t>
  </si>
  <si>
    <t>485 RICE FARM RD</t>
  </si>
  <si>
    <t>(802) 579-8314</t>
  </si>
  <si>
    <t>LYNN@KURALT.NET</t>
  </si>
  <si>
    <t>JOHN A. LYDDY</t>
  </si>
  <si>
    <t>WHITINGHAM</t>
  </si>
  <si>
    <t>994 FULLER HILL RD</t>
  </si>
  <si>
    <t>05361</t>
  </si>
  <si>
    <t>(802) 302-4227</t>
  </si>
  <si>
    <t>(802) 368-7554</t>
  </si>
  <si>
    <t>JLYDDY3@GMAIL.COM</t>
  </si>
  <si>
    <t>JOHN LYDDY FACEBOOK</t>
  </si>
  <si>
    <t>GEORGE "NED" SPEAR II</t>
  </si>
  <si>
    <t>PO BOX 148</t>
  </si>
  <si>
    <t>(802) 868-2929</t>
  </si>
  <si>
    <t>GEORGE@SPEARLAWVT.COM</t>
  </si>
  <si>
    <t>P O BOX 17</t>
  </si>
  <si>
    <t>(802) 334-5422</t>
  </si>
  <si>
    <t>RIDGEHILLALPACAS@YAHOO.COM</t>
  </si>
  <si>
    <t>STEPHEN P. BENARD SR.</t>
  </si>
  <si>
    <t>P O BOX 6495</t>
  </si>
  <si>
    <t>(802) 342-0019</t>
  </si>
  <si>
    <t>STEPHEN.BENARD59@GMAIL.COM</t>
  </si>
  <si>
    <t>MICHAEL R. ELMORE</t>
  </si>
  <si>
    <t>PO BOX 220</t>
  </si>
  <si>
    <t>(802) 989-3584</t>
  </si>
  <si>
    <t>ELMORE4ADDISONSHERIFF@GMAIL.COM</t>
  </si>
  <si>
    <t>RON HOLMES</t>
  </si>
  <si>
    <t>18 COURT ST</t>
  </si>
  <si>
    <t>(802) 388-5474</t>
  </si>
  <si>
    <t>RONHOLM@MYFAIRPOINT.NET</t>
  </si>
  <si>
    <t>JOHN GRISMORE</t>
  </si>
  <si>
    <t>FAIRFAX</t>
  </si>
  <si>
    <t>192 BUCK HOLLOW RD</t>
  </si>
  <si>
    <t>05454</t>
  </si>
  <si>
    <t>(802) 393-2112</t>
  </si>
  <si>
    <t>JGRISMORE28@GMAIL.COM</t>
  </si>
  <si>
    <t>CAL 1</t>
  </si>
  <si>
    <t>JANE KITCHEL</t>
  </si>
  <si>
    <t>BOX 82</t>
  </si>
  <si>
    <t>(802) 684-3482</t>
  </si>
  <si>
    <t>(802) 595-3309</t>
  </si>
  <si>
    <t>JANEK45@HOTMAIL.COM</t>
  </si>
  <si>
    <t>WWW.KITCHELFORSENATE.COM</t>
  </si>
  <si>
    <t>DAWN ELLIS</t>
  </si>
  <si>
    <t>P.O. BOX 5336</t>
  </si>
  <si>
    <t>(802) 578-6899</t>
  </si>
  <si>
    <t>VERMONTDAWN@GMAIL.COM</t>
  </si>
  <si>
    <t>FRIENDS OF DAWN ELLIS ON FACEBOOK</t>
  </si>
  <si>
    <t>ERHARD MAHNKE</t>
  </si>
  <si>
    <t>60 GROVE ST, A</t>
  </si>
  <si>
    <t>(802) 233-2902</t>
  </si>
  <si>
    <t>ERHARDM@BURLINGTONTELECOM.NET</t>
  </si>
  <si>
    <t>WWW.ERHARDFORSENATE.COM</t>
  </si>
  <si>
    <t>KESHA RAM HINSDALE</t>
  </si>
  <si>
    <t>P.O. BOX 4491</t>
  </si>
  <si>
    <t>(802) 881-4433</t>
  </si>
  <si>
    <t>KESHA.RAM@GMAIL.COM</t>
  </si>
  <si>
    <t>WWW.KESHARAM.COM</t>
  </si>
  <si>
    <t>ALICE M. EMMONS</t>
  </si>
  <si>
    <t>KRISTI C. MORRIS</t>
  </si>
  <si>
    <t>WILLIAM W. COBB</t>
  </si>
  <si>
    <t>425 JONES ROAD</t>
  </si>
  <si>
    <t>(802) 498-5983</t>
  </si>
  <si>
    <t>WCOBB@COBBLAWVT.NET</t>
  </si>
  <si>
    <t>WILLIAM "WILL" GREER</t>
  </si>
  <si>
    <t>1 COLLEGE DR</t>
  </si>
  <si>
    <t>JT DODGE</t>
  </si>
  <si>
    <t>245 CHENEY 4 CORNER ROAD</t>
  </si>
  <si>
    <t>EAST CORINTH</t>
  </si>
  <si>
    <t>05040</t>
  </si>
  <si>
    <t>(802) 439-3910</t>
  </si>
  <si>
    <t>JTDODGE@GMAIL.COM</t>
  </si>
  <si>
    <t>JTDODGEFORVERMONT.COM</t>
  </si>
  <si>
    <t>SAMUEL A. DOUGLASS</t>
  </si>
  <si>
    <t>JAMES H. MCCLAY</t>
  </si>
  <si>
    <t>JAY H. SWEENY</t>
  </si>
  <si>
    <t>CURTIS A. HARDY</t>
  </si>
  <si>
    <t>BRIAN W. PEAT</t>
  </si>
  <si>
    <t>JESSICA E. ZALESKI</t>
  </si>
  <si>
    <t>420 SUITOR RD</t>
  </si>
  <si>
    <t>(802) 505-8073</t>
  </si>
  <si>
    <t>JESSICAZALESKI359@GMAIL.COM</t>
  </si>
  <si>
    <t>1611 E BURKE RD</t>
  </si>
  <si>
    <t>(802) 745-8999</t>
  </si>
  <si>
    <t>HARTWELLFORCALEDONIASHERIFF@GMAIL.COM</t>
  </si>
  <si>
    <t>STEVEN N. HARTWELL JR.</t>
  </si>
  <si>
    <t>ROBERT GERRISH</t>
  </si>
  <si>
    <t>81 COTTON ROAD</t>
  </si>
  <si>
    <t>(802) 751-5477</t>
  </si>
  <si>
    <t>ROBERTSGERRISH@GMAIL.COM</t>
  </si>
  <si>
    <t>BRANDON THRAILKILL</t>
  </si>
  <si>
    <t>28 DUNE WAY</t>
  </si>
  <si>
    <t>(802) 535-0137</t>
  </si>
  <si>
    <t>BRANDON.THRAILKILL@VERMONT.GOV</t>
  </si>
  <si>
    <t>STEPHEN C. BELLOWS</t>
  </si>
  <si>
    <t>GI CHI</t>
  </si>
  <si>
    <t>53 BEAR TRAP RD</t>
  </si>
  <si>
    <t>(802) 881-7835</t>
  </si>
  <si>
    <t>FALCON83@COMCAST.NET</t>
  </si>
  <si>
    <t>ANDY PARADEE</t>
  </si>
  <si>
    <t>28 SIMMS POINT RD</t>
  </si>
  <si>
    <t>(802) 338-6847</t>
  </si>
  <si>
    <t>ABPARADEE@ICLOUD.COM</t>
  </si>
  <si>
    <t>NICHOLE LOATI</t>
  </si>
  <si>
    <t>496 CHURCHILL RD</t>
  </si>
  <si>
    <t>(802) 498-4966</t>
  </si>
  <si>
    <t>NICHOLELOATIVTREP@GMAIL.COM</t>
  </si>
  <si>
    <t>BEN OLSEN</t>
  </si>
  <si>
    <t>EVA RYAN</t>
  </si>
  <si>
    <t>92 KIRK MEADOW RD</t>
  </si>
  <si>
    <t>(802) 875-7266</t>
  </si>
  <si>
    <t>EVAMARIERYAN@GMAIL.COM</t>
  </si>
  <si>
    <t>ORL 2</t>
  </si>
  <si>
    <t>WOODMAN "WOODY" H. PAGE</t>
  </si>
  <si>
    <t>NEWPORT CITY</t>
  </si>
  <si>
    <t>299 HIGHLAND AVE</t>
  </si>
  <si>
    <t>(802) 334-6988</t>
  </si>
  <si>
    <t>PAGE4HOUSE@GMAIL.COM</t>
  </si>
  <si>
    <t>RUSS INGALLS</t>
  </si>
  <si>
    <t>ESX 1</t>
  </si>
  <si>
    <t>90 FARRANTS PT</t>
  </si>
  <si>
    <t>(802) 323-4756</t>
  </si>
  <si>
    <t>RUSS247@YAHOO.COM</t>
  </si>
  <si>
    <t>CHARLIE KIMBELL</t>
  </si>
  <si>
    <t>19 RIVER ST</t>
  </si>
  <si>
    <t>(802) 296-1276</t>
  </si>
  <si>
    <t>KBELLVT@GMAIL.COM</t>
  </si>
  <si>
    <t>CHARLIEFORVERMONT.COM</t>
  </si>
  <si>
    <t>KITTY TOLL</t>
  </si>
  <si>
    <t>DAVID ZUCKERMAN</t>
  </si>
  <si>
    <t>PO BOX 548</t>
  </si>
  <si>
    <t>PO BOX 9354</t>
  </si>
  <si>
    <t>(802) 343-3144</t>
  </si>
  <si>
    <t>(802) 448-5715</t>
  </si>
  <si>
    <t>KITTY@KITTYFORVT.COM</t>
  </si>
  <si>
    <t>INFO@ZUCKERMANFORVT.COM</t>
  </si>
  <si>
    <t>KITTYFORVT.COM</t>
  </si>
  <si>
    <t>ZUCKERMANFORVT.COM</t>
  </si>
  <si>
    <t>ALAN "AL" MAYNARD</t>
  </si>
  <si>
    <t>PO BOX 403</t>
  </si>
  <si>
    <t>(802) 849-7189</t>
  </si>
  <si>
    <t>(802) 734-1510</t>
  </si>
  <si>
    <t>TEAM@MAYNARD4VT.ORG</t>
  </si>
  <si>
    <t>MAYNARD4VT.COM</t>
  </si>
  <si>
    <t>DEVON THOMAS</t>
  </si>
  <si>
    <t>GEORGIA</t>
  </si>
  <si>
    <t>2351 PLAINS RD</t>
  </si>
  <si>
    <t>(802) 310-6517</t>
  </si>
  <si>
    <t>REVDEVFORVT@GMAIL.COM</t>
  </si>
  <si>
    <t>REVDEVFORVT.COM</t>
  </si>
  <si>
    <t>ASHLEY R. BARTLEY</t>
  </si>
  <si>
    <t>PO BOX 432</t>
  </si>
  <si>
    <t>(802) 310-0400</t>
  </si>
  <si>
    <t>ASHLEY@ASHLEYBARTLEY.ORG</t>
  </si>
  <si>
    <t>WWW.ASHLEYBARTLEY.ORG</t>
  </si>
  <si>
    <t>CAROLYN WHITNEY BRANAGAN</t>
  </si>
  <si>
    <t>1295 BALLARD RD</t>
  </si>
  <si>
    <t>(802) 782-4108</t>
  </si>
  <si>
    <t>CBRANAGAN@COMCAST.NET</t>
  </si>
  <si>
    <t>PATRICK M. BRENNAN</t>
  </si>
  <si>
    <t>LUNENBURG</t>
  </si>
  <si>
    <t>TREVOR COLBY</t>
  </si>
  <si>
    <t>900 BOBBIN MILL RD</t>
  </si>
  <si>
    <t>(603) 631-3335</t>
  </si>
  <si>
    <t>TREVOR.COLBY@VERMONT.GOV</t>
  </si>
  <si>
    <t>EVAN HAMMOND</t>
  </si>
  <si>
    <t>126 COLBY RD</t>
  </si>
  <si>
    <t>(802) 892-5277</t>
  </si>
  <si>
    <t>GEVANHAMMOND@GMAIL.COM</t>
  </si>
  <si>
    <t>WENDY HARLIN</t>
  </si>
  <si>
    <t>RIPTON</t>
  </si>
  <si>
    <t>PO BOX 53</t>
  </si>
  <si>
    <t>05766</t>
  </si>
  <si>
    <t>(802) 352-0432</t>
  </si>
  <si>
    <t>FRIENDSOFWENDYVT@GMAIL.COM</t>
  </si>
  <si>
    <t>WENDYHARLIN.COM</t>
  </si>
  <si>
    <t>ELA@ELACHAPINVT.COM</t>
  </si>
  <si>
    <t>ALISON H. CLARKSON</t>
  </si>
  <si>
    <t>18 GOLF AVE</t>
  </si>
  <si>
    <t>(802) 457-4627</t>
  </si>
  <si>
    <t>ALISON4VT@GMAIL.COM</t>
  </si>
  <si>
    <t>ALISONCLARKSON.ORG</t>
  </si>
  <si>
    <t>RICHARD "DICK" MCCORMACK</t>
  </si>
  <si>
    <t>127 CLEVELAND BROOK RD</t>
  </si>
  <si>
    <t>(802) 793-6417</t>
  </si>
  <si>
    <t>DMCCORMACK127@GMAIL.COM</t>
  </si>
  <si>
    <t>CHRISTOPHER MORROW</t>
  </si>
  <si>
    <t>WESTON</t>
  </si>
  <si>
    <t>239 LAWRENCE HILL RD</t>
  </si>
  <si>
    <t>05161</t>
  </si>
  <si>
    <t>(802) 688-5439</t>
  </si>
  <si>
    <t>MORROWFORSENATE@GMAIL.COM</t>
  </si>
  <si>
    <t>CHRISTOPHERMORROW.ORG</t>
  </si>
  <si>
    <t>REBECCA WHITE</t>
  </si>
  <si>
    <t>159 HAZEN ST</t>
  </si>
  <si>
    <t>(802) 777-4517</t>
  </si>
  <si>
    <t>BECCAWHITE.VT@GMAIL.COM</t>
  </si>
  <si>
    <t>BECCAWHITEVT.COM</t>
  </si>
  <si>
    <t>ALISON JOHANNENSEN</t>
  </si>
  <si>
    <t>PO BOX 6</t>
  </si>
  <si>
    <t>TAFTSVILLE</t>
  </si>
  <si>
    <t>05073</t>
  </si>
  <si>
    <t>(802) 457-9036</t>
  </si>
  <si>
    <t>JOHANNENSEN@YAHOO.COM</t>
  </si>
  <si>
    <t>DAVID SINGER</t>
  </si>
  <si>
    <t>P.O. BOX 243</t>
  </si>
  <si>
    <t>(802) 738-9939</t>
  </si>
  <si>
    <t>(802) 436-2943</t>
  </si>
  <si>
    <t>DAVIDSINGER@ME.COM</t>
  </si>
  <si>
    <t>WARD HUNT GOODENOUGH</t>
  </si>
  <si>
    <t>P.O. BOX 112</t>
  </si>
  <si>
    <t>(802) 280-5495</t>
  </si>
  <si>
    <t>GOODENOUGHVT@GMAIL.COM</t>
  </si>
  <si>
    <t>GOODENOUGHVT.COM</t>
  </si>
  <si>
    <t>MICHAEL CHAMBERLAIN</t>
  </si>
  <si>
    <t>2978 WEST WOODSTOCK RD</t>
  </si>
  <si>
    <t>(802) 296-1026</t>
  </si>
  <si>
    <t>DANA COLSON JR.</t>
  </si>
  <si>
    <t>3702 VT ROUTE 14</t>
  </si>
  <si>
    <t>(802) 222-1474</t>
  </si>
  <si>
    <t>DCOLSON3422@GMAIL.COM</t>
  </si>
  <si>
    <t>ALICE FLANDERS</t>
  </si>
  <si>
    <t>105 DAVIS CIR</t>
  </si>
  <si>
    <t>05047</t>
  </si>
  <si>
    <t>(802) 295-3602</t>
  </si>
  <si>
    <t>ALICE.FLANDERS@YAHOO.COM</t>
  </si>
  <si>
    <t>ADD RUT</t>
  </si>
  <si>
    <t>ORWELL</t>
  </si>
  <si>
    <t>P O BOX 81</t>
  </si>
  <si>
    <t>05760</t>
  </si>
  <si>
    <t>(802) 352-0447</t>
  </si>
  <si>
    <t>JOE@JOEANDRIANOFORVERMONT.COM</t>
  </si>
  <si>
    <t>JOEANDRIANOFORVERMONT.COM</t>
  </si>
  <si>
    <t>PATRICIA DUFF</t>
  </si>
  <si>
    <t>14 CLARK AVE 4</t>
  </si>
  <si>
    <t>(802) 490-9695</t>
  </si>
  <si>
    <t>PATTYDUFF77@GMAIL.COM</t>
  </si>
  <si>
    <t>BEN RUT</t>
  </si>
  <si>
    <t>WILLIAM GAIOTTI</t>
  </si>
  <si>
    <t>MOUNT TABOR</t>
  </si>
  <si>
    <t>288 TROLL HILL RD</t>
  </si>
  <si>
    <t>05739</t>
  </si>
  <si>
    <t>(802) 345-8500</t>
  </si>
  <si>
    <t>KNINESWAG@GMAIL.COM</t>
  </si>
  <si>
    <t>MIKE RICE</t>
  </si>
  <si>
    <t>DORSET</t>
  </si>
  <si>
    <t>1497 PO BOX 702</t>
  </si>
  <si>
    <t>05251</t>
  </si>
  <si>
    <t>MIKE@MIKERICEVT.COM</t>
  </si>
  <si>
    <t>BARNET</t>
  </si>
  <si>
    <t>764 WHITEHILL RD</t>
  </si>
  <si>
    <t>05042</t>
  </si>
  <si>
    <t>(802) 745-7910</t>
  </si>
  <si>
    <t>BOBBYLOVESVT@GMAIL.COM</t>
  </si>
  <si>
    <t>BOBBYFARLICERUBIO.COM</t>
  </si>
  <si>
    <t>MICHAEL R. MORGAN</t>
  </si>
  <si>
    <t>MICHAEL DEERING II</t>
  </si>
  <si>
    <t>24 BERGERON ST, 13</t>
  </si>
  <si>
    <t>(802) 461-3231</t>
  </si>
  <si>
    <t>(802) 431-3231</t>
  </si>
  <si>
    <t>DEERING@HOTMAIL.COM</t>
  </si>
  <si>
    <t>FACEBOOK.COM/DEERINGFORBARRE</t>
  </si>
  <si>
    <t>KATHI TARRANT</t>
  </si>
  <si>
    <t>15 ELM ST, 1</t>
  </si>
  <si>
    <t>WDR 2</t>
  </si>
  <si>
    <t>JOHN ARRISON</t>
  </si>
  <si>
    <t>160 CENTER GROVE</t>
  </si>
  <si>
    <t>WDR 4</t>
  </si>
  <si>
    <t>HEATHER SURPRENANT</t>
  </si>
  <si>
    <t>BARNARD</t>
  </si>
  <si>
    <t>115 STATE STREET STATE HOUSE</t>
  </si>
  <si>
    <t>05633</t>
  </si>
  <si>
    <t>(802) 272-7943</t>
  </si>
  <si>
    <t>LINKTR.EE/HEATHER4VTHOUSE</t>
  </si>
  <si>
    <t>GINA M. GALFETTI</t>
  </si>
  <si>
    <t>ZACHARY KENT</t>
  </si>
  <si>
    <t>3010 VT ROUTE 22A</t>
  </si>
  <si>
    <t>(802) 488-4086</t>
  </si>
  <si>
    <t>ZACH@ZACHARYKENT.COM</t>
  </si>
  <si>
    <t>ARTHUR  PETERSON</t>
  </si>
  <si>
    <t>ANGELA LAWRENCE</t>
  </si>
  <si>
    <t>1219 WICKOPEE HILL RD</t>
  </si>
  <si>
    <t>(603) 762-9957</t>
  </si>
  <si>
    <t>ALAWRENCEFORHB@GMAIL.COM</t>
  </si>
  <si>
    <t>MIKECHAMBERLAINWCSD1@GMAIL.COM</t>
  </si>
  <si>
    <t>BARBARA NOLFI</t>
  </si>
  <si>
    <t>4 EAST VILLAGE DR</t>
  </si>
  <si>
    <t>(802) 399-2493</t>
  </si>
  <si>
    <t>BCNOLFI@GMAIL.COM</t>
  </si>
  <si>
    <t>SUSAN HATCH DAVIS</t>
  </si>
  <si>
    <t>75 NOTCH END RD</t>
  </si>
  <si>
    <t>WEST TOPSHAM</t>
  </si>
  <si>
    <t>05086</t>
  </si>
  <si>
    <t>(802) 439-5103</t>
  </si>
  <si>
    <t>SUSANHATCHDAVISFORGOVERNOR@GMAIL.COM</t>
  </si>
  <si>
    <t>CINDY WEED</t>
  </si>
  <si>
    <t>ENOSBURGH</t>
  </si>
  <si>
    <t>(802) 933-2545</t>
  </si>
  <si>
    <t>CINDYWEED@HOTMAIL.COM</t>
  </si>
  <si>
    <t>PROGRESSIVEPARTY.ORG</t>
  </si>
  <si>
    <t>ROBERT MILLAR</t>
  </si>
  <si>
    <t>394 MAIN ST, 6</t>
  </si>
  <si>
    <t>(802) 238-0089</t>
  </si>
  <si>
    <t>ROBERT@ROBERTMILLAR.ORG</t>
  </si>
  <si>
    <t>MARIELLE A. BLAIS</t>
  </si>
  <si>
    <t>2143 FOREST DALE RD</t>
  </si>
  <si>
    <t>(802) 247-3212</t>
  </si>
  <si>
    <t>MBLAIS634@GMAIL.COM</t>
  </si>
  <si>
    <t>PATRICIA PRESTON</t>
  </si>
  <si>
    <t>PO BOX 4332</t>
  </si>
  <si>
    <t>(802) 316-8951</t>
  </si>
  <si>
    <t>PATRICIA@PATRICIAFORVERMONT.COM</t>
  </si>
  <si>
    <t>PATRICIAFORVERMONT.COM</t>
  </si>
  <si>
    <t>LIAM MADDEN</t>
  </si>
  <si>
    <t>30 MEETING HOUSE RD</t>
  </si>
  <si>
    <t>(802) 376-4809</t>
  </si>
  <si>
    <t>LIAM@REBIRTHDEMOCRACY.COM</t>
  </si>
  <si>
    <t>REBIRTHDEMOCRACY.COM</t>
  </si>
  <si>
    <t>4 MOCCASIN AVE</t>
  </si>
  <si>
    <t>STEPHENBELLOWSVT2022.COM</t>
  </si>
  <si>
    <t>TINA GOLON</t>
  </si>
  <si>
    <t>833 COLLAR HILL ROAD</t>
  </si>
  <si>
    <t>(802) 522-9216</t>
  </si>
  <si>
    <t>TINAGOLON@GMAIL.COM</t>
  </si>
  <si>
    <t>WWW.VTREGROUP.COM</t>
  </si>
  <si>
    <t>ORL LAM</t>
  </si>
  <si>
    <t>MARK HIGLEY</t>
  </si>
  <si>
    <t>LOWELL</t>
  </si>
  <si>
    <t>429 BARAW RD LOWELL VT 05847</t>
  </si>
  <si>
    <t>05847</t>
  </si>
  <si>
    <t>(802) 744-6379</t>
  </si>
  <si>
    <t>CHOPPERHIGLEY@GMAIL.COM</t>
  </si>
  <si>
    <t>MICHAEL J. MARCOTTE</t>
  </si>
  <si>
    <t>106 PRIVATE POND RD</t>
  </si>
  <si>
    <t>(802) 334-6302</t>
  </si>
  <si>
    <t>JIMKWIK@SURFGLOBAL.NET</t>
  </si>
  <si>
    <t>FRA 7</t>
  </si>
  <si>
    <t>374 WEEDS LN</t>
  </si>
  <si>
    <t>ALLEN "PENNY" DEMAR</t>
  </si>
  <si>
    <t>PO BOX 31</t>
  </si>
  <si>
    <t>ALLENDEMAR@YAHOO.COM</t>
  </si>
  <si>
    <t>ZACHARIA MESSIER</t>
  </si>
  <si>
    <t>195 PEARL ST</t>
  </si>
  <si>
    <t>(802) 904-3605</t>
  </si>
  <si>
    <t>ZACH.4.REP@GMAIL.COM</t>
  </si>
  <si>
    <t>119 STEVENSVILLE RD</t>
  </si>
  <si>
    <t>(802) 373-1624</t>
  </si>
  <si>
    <t>MARTHAVT@SOVER.NET</t>
  </si>
  <si>
    <t>DON SCHRAMM</t>
  </si>
  <si>
    <t>DLSCHRAMM@GMAIL.COM</t>
  </si>
  <si>
    <t>ELIJAH BERGMAN</t>
  </si>
  <si>
    <t>DANBY</t>
  </si>
  <si>
    <t>PO BOX 281</t>
  </si>
  <si>
    <t>(802) 828-7109</t>
  </si>
  <si>
    <t>JOSH@PROGRESSIVEPARTY.ORG</t>
  </si>
  <si>
    <t>(802) 636-7857</t>
  </si>
  <si>
    <t>PEATLLC@COMCAST.NET</t>
  </si>
  <si>
    <t>(802) 375-4382</t>
  </si>
  <si>
    <t>WWW.BENNINGTONCOUNTYSA.COM</t>
  </si>
  <si>
    <t>ERICA@BENNINGTONCOUNTYSA.COM</t>
  </si>
  <si>
    <t>(802) 362-5807</t>
  </si>
  <si>
    <t>WILLIAMGREERVT@GMAIL.COM</t>
  </si>
  <si>
    <t>WILLIAMGREERVT.COM</t>
  </si>
  <si>
    <t xml:space="preserve"> </t>
  </si>
  <si>
    <t>ELA CHAPIN</t>
  </si>
  <si>
    <t>RYAN4REP@GMAIL.COM</t>
  </si>
  <si>
    <t>MARTHA ABBOTT</t>
  </si>
  <si>
    <t>ESSEX TOWN</t>
  </si>
  <si>
    <t>TSTEVENS@LEG.STATE.VT.US</t>
  </si>
  <si>
    <t>SCOTT@CAMPBELLFORVERMONT.COM</t>
  </si>
  <si>
    <t>PO BOX 381</t>
  </si>
  <si>
    <t>BOBBY FARLICE-RUBIO</t>
  </si>
  <si>
    <t>ESSEX CITY</t>
  </si>
  <si>
    <t>ROOTFORVT.COM</t>
  </si>
  <si>
    <t>(802) 274-7652</t>
  </si>
  <si>
    <t>JOSEPH ANDRIANO</t>
  </si>
  <si>
    <t>ZACHARY M. LANG</t>
  </si>
  <si>
    <t>414 LOWER PLN PO BOX 100</t>
  </si>
  <si>
    <t>(802) 431-5766</t>
  </si>
  <si>
    <t>ZLANG762@GMAIL.COM</t>
  </si>
  <si>
    <t>NICHOLELOATIVTREP.COM</t>
  </si>
  <si>
    <t>THAYER4VERMONT@AOL.COM</t>
  </si>
  <si>
    <t>THAYERFORVERMONT.ORG</t>
  </si>
  <si>
    <t>VOLUNTEER@DEPLOYMALLOY.COM</t>
  </si>
  <si>
    <t>PO BOX 103</t>
  </si>
  <si>
    <t>Last Updated: 6/2/2022 4 pm                 This list is final</t>
  </si>
  <si>
    <t>BENVTHOUSE@GMAIL.COM</t>
  </si>
  <si>
    <t>FACEBOOK.COM/VALERIEFORVT</t>
  </si>
  <si>
    <t>HEMOND FOR SHERIFF ON FACEBOOK</t>
  </si>
  <si>
    <t>DOUGWOODFORVTHOUSE.ORG</t>
  </si>
  <si>
    <t>DEMROWFORVTHOUSE@GMAIL.COM</t>
  </si>
  <si>
    <t>JAMES A. GULLEY JR.</t>
  </si>
  <si>
    <t>HTTP://BIT.LY/MINIER4VTHOUSE</t>
  </si>
  <si>
    <t>PO BOX 1211</t>
  </si>
  <si>
    <t>(802) 597-9131</t>
  </si>
  <si>
    <t>McCormack Dick FD_b2626649-d080-42bb-b45a-6e3d8e205003.pdf</t>
  </si>
  <si>
    <t>PAMFORVERMONT.COM</t>
  </si>
  <si>
    <t>PAMMCCARTHY4VTSENATE@GMAIL.COM</t>
  </si>
  <si>
    <t>(802) 224-6309</t>
  </si>
  <si>
    <t>MYANTACHKA.DFA@GMAIL.COM</t>
  </si>
  <si>
    <t>WWW.MIKEYANTACHKA.COM</t>
  </si>
  <si>
    <t>(802) 233-5238</t>
  </si>
  <si>
    <t>(802) 747-8824</t>
  </si>
  <si>
    <t>(802) 771-4789</t>
  </si>
  <si>
    <t>RYANADDARIO.COM</t>
  </si>
  <si>
    <t>JDCHRIS1942@GMAIL.COM</t>
  </si>
  <si>
    <t>CHRISTIANOFORVTHOUSE.COM</t>
  </si>
  <si>
    <t>25 Court House Drive</t>
  </si>
  <si>
    <t>GUILDHALL</t>
  </si>
  <si>
    <t>05905</t>
  </si>
  <si>
    <t>802-676-3549</t>
  </si>
  <si>
    <t>kenn.stransky@vermont.gov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</si>
</sst>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name val="Calibri"/>
    </font>
    <font>
      <b/>
      <sz val="26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22"/>
      <name val="Calibri"/>
      <family val="2"/>
    </font>
    <font>
      <sz val="24"/>
      <color rgb="FF0000FF"/>
      <name val="Calibri"/>
      <family val="2"/>
    </font>
    <font>
      <sz val="24"/>
      <name val="Calibri"/>
      <family val="2"/>
      <scheme val="minor"/>
    </font>
    <font>
      <sz val="24"/>
      <color rgb="FF0070C0"/>
      <name val="Calibri"/>
      <family val="2"/>
    </font>
    <font>
      <sz val="11"/>
      <color rgb="FF0070C0"/>
      <name val="Calibri"/>
      <family val="2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6" fillId="0" borderId="0" xfId="0" applyFont="1" applyAlignment="1">
      <alignment horizontal="left" vertical="top" wrapText="1"/>
    </xf>
    <xf numFmtId="0" fontId="4" fillId="0" borderId="0" xfId="1"/>
    <xf numFmtId="0" fontId="7" fillId="0" borderId="0" xfId="0" applyFont="1"/>
    <xf numFmtId="0" fontId="3" fillId="0" borderId="0" xfId="1" applyFont="1" applyAlignment="1">
      <alignment vertical="center"/>
    </xf>
    <xf numFmtId="0" fontId="3" fillId="0" borderId="0" xfId="1" applyFont="1"/>
    <xf numFmtId="0" fontId="8" fillId="0" borderId="0" xfId="0" applyFont="1"/>
    <xf numFmtId="164" fontId="3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27"/>
  <sheetViews>
    <sheetView tabSelected="1" zoomScale="60" zoomScaleNormal="60" workbookViewId="0">
      <selection activeCell="A2" sqref="A2"/>
    </sheetView>
  </sheetViews>
  <sheetFormatPr defaultRowHeight="15" x14ac:dyDescent="0.25"/>
  <cols>
    <col min="1" max="1" width="65.85546875" customWidth="1"/>
    <col min="2" max="2" width="30.85546875" customWidth="1"/>
    <col min="3" max="3" width="65.5703125" bestFit="1" customWidth="1"/>
    <col min="4" max="4" width="48" bestFit="1" customWidth="1"/>
    <col min="5" max="5" width="28.42578125" customWidth="1"/>
    <col min="6" max="6" width="70.140625" bestFit="1" customWidth="1"/>
    <col min="7" max="7" width="48" bestFit="1" customWidth="1"/>
    <col min="8" max="8" width="12.140625" customWidth="1"/>
    <col min="9" max="9" width="14" style="6" customWidth="1"/>
    <col min="10" max="10" width="34.7109375" customWidth="1"/>
    <col min="11" max="11" width="32.140625" customWidth="1"/>
    <col min="12" max="12" width="101.85546875" bestFit="1" customWidth="1"/>
    <col min="13" max="13" width="115.140625" bestFit="1" customWidth="1"/>
    <col min="14" max="14" width="40.5703125" style="17" bestFit="1" customWidth="1"/>
  </cols>
  <sheetData>
    <row r="1" spans="1:22" ht="50.25" customHeight="1" x14ac:dyDescent="0.5">
      <c r="A1" s="1" t="s">
        <v>13</v>
      </c>
    </row>
    <row r="2" spans="1:22" ht="57" x14ac:dyDescent="0.25">
      <c r="A2" s="8" t="s">
        <v>2199</v>
      </c>
    </row>
    <row r="3" spans="1:22" ht="31.5" x14ac:dyDescent="0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7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452</v>
      </c>
      <c r="O3" s="3"/>
      <c r="P3" s="3"/>
      <c r="Q3" s="3"/>
      <c r="R3" s="3"/>
      <c r="S3" s="3"/>
      <c r="T3" s="3"/>
      <c r="U3" s="3"/>
      <c r="V3" s="3"/>
    </row>
    <row r="4" spans="1:22" ht="31.5" x14ac:dyDescent="0.5">
      <c r="A4" s="3" t="s">
        <v>499</v>
      </c>
      <c r="B4" s="3" t="s">
        <v>23</v>
      </c>
      <c r="C4" s="3" t="s">
        <v>2180</v>
      </c>
      <c r="D4" s="3" t="s">
        <v>1027</v>
      </c>
      <c r="E4" s="3" t="s">
        <v>1662</v>
      </c>
      <c r="F4" s="3" t="s">
        <v>2159</v>
      </c>
      <c r="G4" s="3" t="s">
        <v>1027</v>
      </c>
      <c r="H4" s="3" t="s">
        <v>20</v>
      </c>
      <c r="I4" s="5" t="s">
        <v>1680</v>
      </c>
      <c r="J4" s="3" t="s">
        <v>2160</v>
      </c>
      <c r="K4" s="3" t="s">
        <v>23</v>
      </c>
      <c r="L4" s="3" t="s">
        <v>2161</v>
      </c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s="4" customFormat="1" ht="31.5" x14ac:dyDescent="0.5">
      <c r="A5" s="3" t="s">
        <v>499</v>
      </c>
      <c r="B5" s="3" t="s">
        <v>23</v>
      </c>
      <c r="C5" s="3" t="s">
        <v>520</v>
      </c>
      <c r="D5" s="3" t="s">
        <v>134</v>
      </c>
      <c r="E5" s="3" t="s">
        <v>18</v>
      </c>
      <c r="F5" s="3" t="s">
        <v>521</v>
      </c>
      <c r="G5" s="3" t="s">
        <v>134</v>
      </c>
      <c r="H5" s="3" t="s">
        <v>20</v>
      </c>
      <c r="I5" s="5" t="s">
        <v>522</v>
      </c>
      <c r="J5" s="3" t="s">
        <v>23</v>
      </c>
      <c r="K5" s="3" t="s">
        <v>23</v>
      </c>
      <c r="L5" s="3" t="s">
        <v>523</v>
      </c>
      <c r="M5" s="3" t="s">
        <v>524</v>
      </c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30" customHeight="1" x14ac:dyDescent="0.5">
      <c r="A6" s="3" t="s">
        <v>499</v>
      </c>
      <c r="B6" s="3" t="s">
        <v>23</v>
      </c>
      <c r="C6" s="3" t="s">
        <v>1155</v>
      </c>
      <c r="D6" s="3" t="s">
        <v>1156</v>
      </c>
      <c r="E6" s="3" t="s">
        <v>76</v>
      </c>
      <c r="F6" s="3" t="s">
        <v>2198</v>
      </c>
      <c r="G6" s="3" t="s">
        <v>1156</v>
      </c>
      <c r="H6" s="3" t="s">
        <v>20</v>
      </c>
      <c r="I6" s="5" t="s">
        <v>1157</v>
      </c>
      <c r="J6" s="3" t="s">
        <v>1158</v>
      </c>
      <c r="K6" s="3" t="s">
        <v>23</v>
      </c>
      <c r="L6" s="3" t="s">
        <v>2197</v>
      </c>
      <c r="M6" s="3" t="s">
        <v>1159</v>
      </c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31.5" x14ac:dyDescent="0.5">
      <c r="A7" s="3" t="s">
        <v>499</v>
      </c>
      <c r="B7" s="3" t="s">
        <v>23</v>
      </c>
      <c r="C7" s="3" t="s">
        <v>1667</v>
      </c>
      <c r="D7" s="3" t="s">
        <v>708</v>
      </c>
      <c r="E7" s="3" t="s">
        <v>76</v>
      </c>
      <c r="F7" s="3" t="s">
        <v>1668</v>
      </c>
      <c r="G7" s="3" t="s">
        <v>708</v>
      </c>
      <c r="H7" s="3" t="s">
        <v>20</v>
      </c>
      <c r="I7" s="5" t="s">
        <v>1669</v>
      </c>
      <c r="J7" s="3" t="s">
        <v>1670</v>
      </c>
      <c r="K7" s="3" t="s">
        <v>23</v>
      </c>
      <c r="L7" s="3" t="s">
        <v>1671</v>
      </c>
      <c r="M7" s="3" t="s">
        <v>1672</v>
      </c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31.5" x14ac:dyDescent="0.5">
      <c r="A8" s="3" t="s">
        <v>499</v>
      </c>
      <c r="B8" s="3" t="s">
        <v>23</v>
      </c>
      <c r="C8" s="3" t="s">
        <v>500</v>
      </c>
      <c r="D8" s="3" t="s">
        <v>46</v>
      </c>
      <c r="E8" s="3" t="s">
        <v>76</v>
      </c>
      <c r="F8" s="3" t="s">
        <v>501</v>
      </c>
      <c r="G8" s="3" t="s">
        <v>46</v>
      </c>
      <c r="H8" s="3" t="s">
        <v>20</v>
      </c>
      <c r="I8" s="5" t="s">
        <v>502</v>
      </c>
      <c r="J8" s="3" t="s">
        <v>503</v>
      </c>
      <c r="K8" s="3" t="s">
        <v>23</v>
      </c>
      <c r="L8" s="3" t="s">
        <v>504</v>
      </c>
      <c r="M8" s="3" t="s">
        <v>505</v>
      </c>
      <c r="N8" s="3"/>
      <c r="O8" s="3"/>
      <c r="P8" s="3"/>
      <c r="Q8" s="3"/>
      <c r="R8" s="3"/>
      <c r="S8" s="3"/>
      <c r="T8" s="3"/>
      <c r="U8" s="3"/>
      <c r="V8" s="3"/>
    </row>
    <row r="9" spans="1:22" s="4" customFormat="1" ht="31.5" x14ac:dyDescent="0.5">
      <c r="A9" s="3" t="s">
        <v>499</v>
      </c>
      <c r="B9" s="3" t="s">
        <v>23</v>
      </c>
      <c r="C9" s="3" t="s">
        <v>917</v>
      </c>
      <c r="D9" s="3" t="s">
        <v>918</v>
      </c>
      <c r="E9" s="3" t="s">
        <v>18</v>
      </c>
      <c r="F9" s="3" t="s">
        <v>919</v>
      </c>
      <c r="G9" s="3" t="s">
        <v>918</v>
      </c>
      <c r="H9" s="3" t="s">
        <v>20</v>
      </c>
      <c r="I9" s="5" t="s">
        <v>920</v>
      </c>
      <c r="J9" s="3" t="s">
        <v>921</v>
      </c>
      <c r="K9" s="3" t="s">
        <v>23</v>
      </c>
      <c r="L9" s="3" t="s">
        <v>922</v>
      </c>
      <c r="M9" s="3" t="s">
        <v>923</v>
      </c>
      <c r="N9" s="3"/>
      <c r="O9" s="3"/>
      <c r="P9" s="3"/>
      <c r="Q9" s="3"/>
      <c r="R9" s="3"/>
      <c r="S9" s="3"/>
      <c r="T9" s="3"/>
      <c r="U9" s="3"/>
      <c r="V9" s="3"/>
    </row>
    <row r="10" spans="1:22" s="4" customFormat="1" ht="31.5" x14ac:dyDescent="0.5">
      <c r="A10" s="3" t="s">
        <v>499</v>
      </c>
      <c r="B10" s="3" t="s">
        <v>23</v>
      </c>
      <c r="C10" s="3" t="s">
        <v>1316</v>
      </c>
      <c r="D10" s="3" t="s">
        <v>1317</v>
      </c>
      <c r="E10" s="3" t="s">
        <v>18</v>
      </c>
      <c r="F10" s="3" t="s">
        <v>1318</v>
      </c>
      <c r="G10" s="3" t="s">
        <v>529</v>
      </c>
      <c r="H10" s="3" t="s">
        <v>20</v>
      </c>
      <c r="I10" s="5" t="s">
        <v>530</v>
      </c>
      <c r="J10" s="3" t="s">
        <v>23</v>
      </c>
      <c r="K10" s="3" t="s">
        <v>23</v>
      </c>
      <c r="L10" s="3" t="s">
        <v>1319</v>
      </c>
      <c r="M10" s="3" t="s">
        <v>1320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 s="4" customFormat="1" ht="31.5" x14ac:dyDescent="0.5">
      <c r="A11" s="3" t="s">
        <v>169</v>
      </c>
      <c r="B11" s="3" t="s">
        <v>23</v>
      </c>
      <c r="C11" s="3" t="s">
        <v>1321</v>
      </c>
      <c r="D11" s="3" t="s">
        <v>134</v>
      </c>
      <c r="E11" s="3" t="s">
        <v>18</v>
      </c>
      <c r="F11" s="3" t="s">
        <v>1322</v>
      </c>
      <c r="G11" s="3" t="s">
        <v>46</v>
      </c>
      <c r="H11" s="3" t="s">
        <v>20</v>
      </c>
      <c r="I11" s="5" t="s">
        <v>1147</v>
      </c>
      <c r="J11" s="3" t="s">
        <v>1323</v>
      </c>
      <c r="K11" s="3" t="s">
        <v>23</v>
      </c>
      <c r="L11" s="3" t="s">
        <v>1324</v>
      </c>
      <c r="M11" s="3" t="s">
        <v>1325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s="4" customFormat="1" ht="31.5" x14ac:dyDescent="0.5">
      <c r="A12" s="3" t="s">
        <v>169</v>
      </c>
      <c r="B12" s="3" t="s">
        <v>23</v>
      </c>
      <c r="C12" s="3" t="s">
        <v>729</v>
      </c>
      <c r="D12" s="3" t="s">
        <v>2181</v>
      </c>
      <c r="E12" s="3" t="s">
        <v>18</v>
      </c>
      <c r="F12" s="3" t="s">
        <v>730</v>
      </c>
      <c r="G12" s="3" t="s">
        <v>731</v>
      </c>
      <c r="H12" s="3" t="s">
        <v>20</v>
      </c>
      <c r="I12" s="5" t="s">
        <v>297</v>
      </c>
      <c r="J12" s="3" t="s">
        <v>732</v>
      </c>
      <c r="K12" s="3" t="s">
        <v>23</v>
      </c>
      <c r="L12" s="3" t="s">
        <v>733</v>
      </c>
      <c r="M12" s="3" t="s">
        <v>734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 s="4" customFormat="1" ht="31.5" x14ac:dyDescent="0.5">
      <c r="A13" s="3" t="s">
        <v>169</v>
      </c>
      <c r="B13" s="3" t="s">
        <v>23</v>
      </c>
      <c r="C13" s="3" t="s">
        <v>1326</v>
      </c>
      <c r="D13" s="3" t="s">
        <v>46</v>
      </c>
      <c r="E13" s="3" t="s">
        <v>18</v>
      </c>
      <c r="F13" s="3" t="s">
        <v>1327</v>
      </c>
      <c r="G13" s="3" t="s">
        <v>46</v>
      </c>
      <c r="H13" s="3" t="s">
        <v>20</v>
      </c>
      <c r="I13" s="5" t="s">
        <v>359</v>
      </c>
      <c r="J13" s="3" t="s">
        <v>1328</v>
      </c>
      <c r="K13" s="3" t="s">
        <v>23</v>
      </c>
      <c r="L13" s="3" t="s">
        <v>1329</v>
      </c>
      <c r="M13" s="3" t="s">
        <v>1330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s="4" customFormat="1" ht="31.5" x14ac:dyDescent="0.5">
      <c r="A14" s="3" t="s">
        <v>169</v>
      </c>
      <c r="B14" s="3" t="s">
        <v>23</v>
      </c>
      <c r="C14" s="3" t="s">
        <v>2127</v>
      </c>
      <c r="D14" s="3" t="s">
        <v>33</v>
      </c>
      <c r="E14" s="3" t="s">
        <v>76</v>
      </c>
      <c r="F14" s="3" t="s">
        <v>2128</v>
      </c>
      <c r="G14" s="3" t="s">
        <v>33</v>
      </c>
      <c r="H14" s="3" t="s">
        <v>20</v>
      </c>
      <c r="I14" s="5" t="s">
        <v>36</v>
      </c>
      <c r="J14" s="3" t="s">
        <v>2129</v>
      </c>
      <c r="K14" s="3" t="s">
        <v>23</v>
      </c>
      <c r="L14" s="3" t="s">
        <v>2130</v>
      </c>
      <c r="M14" s="3" t="s">
        <v>2131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s="4" customFormat="1" ht="31.5" x14ac:dyDescent="0.5">
      <c r="A15" s="3" t="s">
        <v>169</v>
      </c>
      <c r="B15" s="3" t="s">
        <v>23</v>
      </c>
      <c r="C15" s="3" t="s">
        <v>170</v>
      </c>
      <c r="D15" s="3" t="s">
        <v>40</v>
      </c>
      <c r="E15" s="3" t="s">
        <v>18</v>
      </c>
      <c r="F15" s="3" t="s">
        <v>171</v>
      </c>
      <c r="G15" s="3" t="s">
        <v>40</v>
      </c>
      <c r="H15" s="3" t="s">
        <v>20</v>
      </c>
      <c r="I15" s="5" t="s">
        <v>42</v>
      </c>
      <c r="J15" s="3" t="s">
        <v>172</v>
      </c>
      <c r="K15" s="3" t="s">
        <v>23</v>
      </c>
      <c r="L15" s="3" t="s">
        <v>173</v>
      </c>
      <c r="M15" s="3" t="s">
        <v>174</v>
      </c>
      <c r="N15" s="16"/>
      <c r="O15" s="3"/>
      <c r="P15" s="3"/>
      <c r="Q15" s="3"/>
      <c r="R15" s="3"/>
      <c r="S15" s="3"/>
      <c r="T15" s="3"/>
      <c r="U15" s="3"/>
      <c r="V15" s="3"/>
    </row>
    <row r="16" spans="1:22" s="4" customFormat="1" ht="31.5" x14ac:dyDescent="0.5">
      <c r="A16" s="3" t="s">
        <v>169</v>
      </c>
      <c r="B16" s="3" t="s">
        <v>23</v>
      </c>
      <c r="C16" s="3" t="s">
        <v>2099</v>
      </c>
      <c r="D16" s="3" t="s">
        <v>46</v>
      </c>
      <c r="E16" s="3" t="s">
        <v>1662</v>
      </c>
      <c r="F16" s="3" t="s">
        <v>2100</v>
      </c>
      <c r="G16" s="3" t="s">
        <v>46</v>
      </c>
      <c r="H16" s="3" t="s">
        <v>20</v>
      </c>
      <c r="I16" s="5" t="s">
        <v>359</v>
      </c>
      <c r="J16" s="3" t="s">
        <v>2101</v>
      </c>
      <c r="K16" s="3" t="s">
        <v>23</v>
      </c>
      <c r="L16" s="3" t="s">
        <v>2102</v>
      </c>
      <c r="M16" s="3" t="s">
        <v>23</v>
      </c>
      <c r="N16" s="16"/>
      <c r="O16" s="3"/>
      <c r="P16" s="3"/>
      <c r="Q16" s="3"/>
      <c r="R16" s="3"/>
      <c r="S16" s="3"/>
      <c r="T16" s="3"/>
      <c r="U16" s="3"/>
      <c r="V16" s="3"/>
    </row>
    <row r="17" spans="1:22" s="4" customFormat="1" ht="31.5" x14ac:dyDescent="0.5">
      <c r="A17" s="3" t="s">
        <v>169</v>
      </c>
      <c r="B17" s="3" t="s">
        <v>23</v>
      </c>
      <c r="C17" s="3" t="s">
        <v>357</v>
      </c>
      <c r="D17" s="3" t="s">
        <v>46</v>
      </c>
      <c r="E17" s="3" t="s">
        <v>76</v>
      </c>
      <c r="F17" s="3" t="s">
        <v>358</v>
      </c>
      <c r="G17" s="3" t="s">
        <v>46</v>
      </c>
      <c r="H17" s="3" t="s">
        <v>20</v>
      </c>
      <c r="I17" s="5" t="s">
        <v>359</v>
      </c>
      <c r="J17" s="3" t="s">
        <v>360</v>
      </c>
      <c r="K17" s="3" t="s">
        <v>23</v>
      </c>
      <c r="L17" s="3" t="s">
        <v>361</v>
      </c>
      <c r="M17" s="3"/>
      <c r="N17" s="16"/>
      <c r="O17" s="3"/>
      <c r="P17" s="3"/>
      <c r="Q17" s="3"/>
      <c r="R17" s="3"/>
      <c r="S17" s="3"/>
      <c r="T17" s="3"/>
      <c r="U17" s="3"/>
      <c r="V17" s="3"/>
    </row>
    <row r="18" spans="1:22" s="4" customFormat="1" ht="31.5" x14ac:dyDescent="0.5">
      <c r="A18" s="3" t="s">
        <v>169</v>
      </c>
      <c r="B18" s="3" t="s">
        <v>23</v>
      </c>
      <c r="C18" s="3" t="s">
        <v>1673</v>
      </c>
      <c r="D18" s="3" t="s">
        <v>835</v>
      </c>
      <c r="E18" s="3" t="s">
        <v>76</v>
      </c>
      <c r="F18" s="3" t="s">
        <v>1674</v>
      </c>
      <c r="G18" s="3" t="s">
        <v>110</v>
      </c>
      <c r="H18" s="3" t="s">
        <v>20</v>
      </c>
      <c r="I18" s="5" t="s">
        <v>112</v>
      </c>
      <c r="J18" s="3" t="s">
        <v>1675</v>
      </c>
      <c r="K18" s="3" t="s">
        <v>23</v>
      </c>
      <c r="L18" s="3" t="s">
        <v>1676</v>
      </c>
      <c r="M18" s="3" t="s">
        <v>1677</v>
      </c>
      <c r="N18" s="16"/>
      <c r="O18" s="3"/>
      <c r="P18" s="3"/>
      <c r="Q18" s="3"/>
      <c r="R18" s="3"/>
      <c r="S18" s="3"/>
      <c r="T18" s="3"/>
      <c r="U18" s="3"/>
      <c r="V18" s="3"/>
    </row>
    <row r="19" spans="1:22" s="4" customFormat="1" ht="31.5" x14ac:dyDescent="0.5">
      <c r="A19" s="3" t="s">
        <v>362</v>
      </c>
      <c r="B19" s="3" t="s">
        <v>23</v>
      </c>
      <c r="C19" s="3" t="s">
        <v>1908</v>
      </c>
      <c r="D19" s="3" t="s">
        <v>52</v>
      </c>
      <c r="E19" s="3" t="s">
        <v>76</v>
      </c>
      <c r="F19" s="3" t="s">
        <v>2132</v>
      </c>
      <c r="G19" s="3" t="s">
        <v>52</v>
      </c>
      <c r="H19" s="3" t="s">
        <v>20</v>
      </c>
      <c r="I19" s="5" t="s">
        <v>70</v>
      </c>
      <c r="J19" s="3" t="s">
        <v>1692</v>
      </c>
      <c r="K19" s="3" t="s">
        <v>23</v>
      </c>
      <c r="L19" s="3" t="s">
        <v>1693</v>
      </c>
      <c r="M19" s="3" t="s">
        <v>2133</v>
      </c>
      <c r="N19" s="16" t="str">
        <f>HYPERLINK("https://electionmgmt.vermont.gov/TFA/DownLoadFinancialDisclosure?FileName=Bellows Stephen FD1040_6c7f69d8-1e4e-402a-b752-936780977e7c.pdf", "Bellows Stephen FD1040_6c7f69d8-1e4e-402a-b752-936780977e7c.pdf")</f>
        <v>Bellows Stephen FD1040_6c7f69d8-1e4e-402a-b752-936780977e7c.pdf</v>
      </c>
      <c r="O19" s="3"/>
      <c r="P19" s="3"/>
      <c r="Q19" s="3"/>
      <c r="R19" s="3"/>
      <c r="S19" s="3"/>
      <c r="T19" s="3"/>
      <c r="U19" s="3"/>
      <c r="V19" s="3"/>
    </row>
    <row r="20" spans="1:22" s="4" customFormat="1" ht="31.5" x14ac:dyDescent="0.5">
      <c r="A20" s="3" t="s">
        <v>362</v>
      </c>
      <c r="B20" s="3" t="s">
        <v>23</v>
      </c>
      <c r="C20" s="3" t="s">
        <v>2103</v>
      </c>
      <c r="D20" s="3" t="s">
        <v>400</v>
      </c>
      <c r="E20" s="3" t="s">
        <v>1662</v>
      </c>
      <c r="F20" s="3" t="s">
        <v>2104</v>
      </c>
      <c r="G20" s="3" t="s">
        <v>2105</v>
      </c>
      <c r="H20" s="3" t="s">
        <v>20</v>
      </c>
      <c r="I20" s="5" t="s">
        <v>2106</v>
      </c>
      <c r="J20" s="3" t="s">
        <v>2107</v>
      </c>
      <c r="K20" s="3" t="s">
        <v>23</v>
      </c>
      <c r="L20" s="3" t="s">
        <v>2108</v>
      </c>
      <c r="M20" s="3" t="s">
        <v>23</v>
      </c>
      <c r="N20" s="16" t="str">
        <f>HYPERLINK("https://electionmgmt.vermont.gov/TFA/DownLoadFinancialDisclosure?FileName=Davis Susan Hatch FD1040_f5930194-2d56-4873-b3fa-09cec6f30dad.pdf", "Davis Susan Hatch FD1040_f5930194-2d56-4873-b3fa-09cec6f30dad.pdf")</f>
        <v>Davis Susan Hatch FD1040_f5930194-2d56-4873-b3fa-09cec6f30dad.pdf</v>
      </c>
      <c r="O20" s="3"/>
      <c r="P20" s="3"/>
      <c r="Q20" s="3"/>
      <c r="R20" s="3"/>
      <c r="S20" s="3"/>
      <c r="T20" s="3"/>
      <c r="U20" s="3"/>
      <c r="V20" s="3"/>
    </row>
    <row r="21" spans="1:22" s="4" customFormat="1" ht="31.5" x14ac:dyDescent="0.5">
      <c r="A21" s="3" t="s">
        <v>362</v>
      </c>
      <c r="B21" s="3" t="s">
        <v>23</v>
      </c>
      <c r="C21" s="3" t="s">
        <v>1678</v>
      </c>
      <c r="D21" s="3" t="s">
        <v>1027</v>
      </c>
      <c r="E21" s="3" t="s">
        <v>76</v>
      </c>
      <c r="F21" s="3" t="s">
        <v>1679</v>
      </c>
      <c r="G21" s="3" t="s">
        <v>1027</v>
      </c>
      <c r="H21" s="3" t="s">
        <v>20</v>
      </c>
      <c r="I21" s="5" t="s">
        <v>1680</v>
      </c>
      <c r="J21" s="3" t="s">
        <v>1681</v>
      </c>
      <c r="K21" s="3" t="s">
        <v>23</v>
      </c>
      <c r="L21" s="3" t="s">
        <v>1682</v>
      </c>
      <c r="M21" s="3" t="s">
        <v>1683</v>
      </c>
      <c r="N21" s="16" t="str">
        <f>HYPERLINK("https://electionmgmt.vermont.gov/TFA/DownLoadFinancialDisclosure?FileName=Duval Peter FD1040_7082325d-d0d1-4695-be8f-4f5ef8889b88.pdf", "Duval Peter FD1040_7082325d-d0d1-4695-be8f-4f5ef8889b88.pdf")</f>
        <v>Duval Peter FD1040_7082325d-d0d1-4695-be8f-4f5ef8889b88.pdf</v>
      </c>
      <c r="O21" s="3"/>
      <c r="P21" s="3"/>
      <c r="Q21" s="3"/>
      <c r="R21" s="3"/>
      <c r="S21" s="3"/>
      <c r="T21" s="3"/>
      <c r="U21" s="3"/>
      <c r="V21" s="3"/>
    </row>
    <row r="22" spans="1:22" s="4" customFormat="1" ht="31.5" x14ac:dyDescent="0.5">
      <c r="A22" s="3" t="s">
        <v>362</v>
      </c>
      <c r="B22" s="3" t="s">
        <v>23</v>
      </c>
      <c r="C22" s="3" t="s">
        <v>1684</v>
      </c>
      <c r="D22" s="3" t="s">
        <v>88</v>
      </c>
      <c r="E22" s="3" t="s">
        <v>76</v>
      </c>
      <c r="F22" s="3" t="s">
        <v>1685</v>
      </c>
      <c r="G22" s="3" t="s">
        <v>90</v>
      </c>
      <c r="H22" s="3" t="s">
        <v>20</v>
      </c>
      <c r="I22" s="5" t="s">
        <v>91</v>
      </c>
      <c r="J22" s="3" t="s">
        <v>1686</v>
      </c>
      <c r="K22" s="3" t="s">
        <v>23</v>
      </c>
      <c r="L22" s="3" t="s">
        <v>1687</v>
      </c>
      <c r="M22" s="3" t="s">
        <v>1688</v>
      </c>
      <c r="N22" s="16" t="str">
        <f>HYPERLINK("https://electionmgmt.vermont.gov/TFA/DownLoadFinancialDisclosure?FileName=Scott Phil FD1040_2dfe078f-095c-4989-94d0-18e11fc165f5.pdf", "Scott Phil FD1040_2dfe078f-095c-4989-94d0-18e11fc165f5.pdf")</f>
        <v>Scott Phil FD1040_2dfe078f-095c-4989-94d0-18e11fc165f5.pdf</v>
      </c>
      <c r="O22" s="3"/>
      <c r="P22" s="3"/>
      <c r="Q22" s="3"/>
      <c r="R22" s="3"/>
      <c r="S22" s="3"/>
      <c r="T22" s="3"/>
      <c r="U22" s="3"/>
      <c r="V22" s="3"/>
    </row>
    <row r="23" spans="1:22" s="4" customFormat="1" ht="31.5" x14ac:dyDescent="0.5">
      <c r="A23" s="3" t="s">
        <v>362</v>
      </c>
      <c r="B23" s="3" t="s">
        <v>23</v>
      </c>
      <c r="C23" s="3" t="s">
        <v>363</v>
      </c>
      <c r="D23" s="3" t="s">
        <v>364</v>
      </c>
      <c r="E23" s="3" t="s">
        <v>18</v>
      </c>
      <c r="F23" s="3" t="s">
        <v>365</v>
      </c>
      <c r="G23" s="3" t="s">
        <v>134</v>
      </c>
      <c r="H23" s="3" t="s">
        <v>20</v>
      </c>
      <c r="I23" s="5" t="s">
        <v>136</v>
      </c>
      <c r="J23" s="3" t="s">
        <v>23</v>
      </c>
      <c r="K23" s="3" t="s">
        <v>23</v>
      </c>
      <c r="L23" s="3" t="s">
        <v>366</v>
      </c>
      <c r="M23" s="3" t="s">
        <v>367</v>
      </c>
      <c r="N23" s="16" t="str">
        <f>HYPERLINK("https://electionmgmt.vermont.gov/TFA/DownLoadFinancialDisclosure?FileName=Siegal Brenda Gov FD1040_c135c19e-cfa1-4a87-aa3f-b7067e276a50.pdf", "Siegal Brenda Gov FD1040_c135c19e-cfa1-4a87-aa3f-b7067e276a50.pdf")</f>
        <v>Siegal Brenda Gov FD1040_c135c19e-cfa1-4a87-aa3f-b7067e276a50.pdf</v>
      </c>
      <c r="O23" s="3"/>
      <c r="P23" s="3"/>
      <c r="Q23" s="3"/>
      <c r="R23" s="3"/>
      <c r="S23" s="3"/>
      <c r="T23" s="3"/>
      <c r="U23" s="3"/>
      <c r="V23" s="3"/>
    </row>
    <row r="24" spans="1:22" s="4" customFormat="1" ht="31.5" x14ac:dyDescent="0.5">
      <c r="A24" s="3" t="s">
        <v>122</v>
      </c>
      <c r="B24" s="3" t="s">
        <v>23</v>
      </c>
      <c r="C24" s="3" t="s">
        <v>1937</v>
      </c>
      <c r="D24" s="3" t="s">
        <v>253</v>
      </c>
      <c r="E24" s="3" t="s">
        <v>18</v>
      </c>
      <c r="F24" s="3" t="s">
        <v>1938</v>
      </c>
      <c r="G24" s="3" t="s">
        <v>253</v>
      </c>
      <c r="H24" s="3" t="s">
        <v>20</v>
      </c>
      <c r="I24" s="5" t="s">
        <v>255</v>
      </c>
      <c r="J24" s="3" t="s">
        <v>1939</v>
      </c>
      <c r="K24" s="3" t="s">
        <v>23</v>
      </c>
      <c r="L24" s="3" t="s">
        <v>1940</v>
      </c>
      <c r="M24" s="3" t="s">
        <v>1941</v>
      </c>
      <c r="N24" s="16" t="str">
        <f>HYPERLINK("https://electionmgmt.vermont.gov/TFA/DownLoadFinancialDisclosure?FileName=Kimbrell Charlie FD1040_8e6b0ee5-cfda-49e9-af0e-742e6cee9ad8.pdf", "Kimbrell Charlie FD1040_8e6b0ee5-cfda-49e9-af0e-742e6cee9ad8.pdf")</f>
        <v>Kimbrell Charlie FD1040_8e6b0ee5-cfda-49e9-af0e-742e6cee9ad8.pdf</v>
      </c>
      <c r="O24" s="3"/>
      <c r="P24" s="3"/>
      <c r="Q24" s="3"/>
      <c r="R24" s="3"/>
      <c r="S24" s="3"/>
      <c r="T24" s="3"/>
      <c r="U24" s="3"/>
      <c r="V24" s="3"/>
    </row>
    <row r="25" spans="1:22" s="4" customFormat="1" ht="31.5" x14ac:dyDescent="0.5">
      <c r="A25" s="3" t="s">
        <v>122</v>
      </c>
      <c r="B25" s="3" t="s">
        <v>23</v>
      </c>
      <c r="C25" s="3" t="s">
        <v>123</v>
      </c>
      <c r="D25" s="3" t="s">
        <v>124</v>
      </c>
      <c r="E25" s="3" t="s">
        <v>76</v>
      </c>
      <c r="F25" s="3" t="s">
        <v>125</v>
      </c>
      <c r="G25" s="3" t="s">
        <v>126</v>
      </c>
      <c r="H25" s="3" t="s">
        <v>20</v>
      </c>
      <c r="I25" s="5" t="s">
        <v>127</v>
      </c>
      <c r="J25" s="3" t="s">
        <v>128</v>
      </c>
      <c r="K25" s="3" t="s">
        <v>23</v>
      </c>
      <c r="L25" s="3" t="s">
        <v>129</v>
      </c>
      <c r="M25" s="3" t="s">
        <v>130</v>
      </c>
      <c r="N25" s="16" t="str">
        <f>HYPERLINK("https://electionmgmt.vermont.gov/TFA/DownLoadFinancialDisclosure?FileName=Joe Benning LtGov FD1040_09c6a429-b2af-4d7d-9f6c-2a7e463af0a8.pdf", "Joe Benning LtGov FD1040_09c6a429-b2af-4d7d-9f6c-2a7e463af0a8.pdf")</f>
        <v>Joe Benning LtGov FD1040_09c6a429-b2af-4d7d-9f6c-2a7e463af0a8.pdf</v>
      </c>
      <c r="O25" s="3"/>
      <c r="P25" s="3"/>
      <c r="Q25" s="3"/>
      <c r="R25" s="3"/>
      <c r="S25" s="3"/>
      <c r="T25" s="3"/>
      <c r="U25" s="3"/>
      <c r="V25" s="3"/>
    </row>
    <row r="26" spans="1:22" s="4" customFormat="1" ht="31.5" x14ac:dyDescent="0.5">
      <c r="A26" s="3" t="s">
        <v>122</v>
      </c>
      <c r="B26" s="3" t="s">
        <v>23</v>
      </c>
      <c r="C26" s="3" t="s">
        <v>2122</v>
      </c>
      <c r="D26" s="3" t="s">
        <v>46</v>
      </c>
      <c r="E26" s="3" t="s">
        <v>18</v>
      </c>
      <c r="F26" s="3" t="s">
        <v>2123</v>
      </c>
      <c r="G26" s="3" t="s">
        <v>46</v>
      </c>
      <c r="H26" s="3" t="s">
        <v>20</v>
      </c>
      <c r="I26" s="5" t="s">
        <v>502</v>
      </c>
      <c r="J26" s="3" t="s">
        <v>2124</v>
      </c>
      <c r="K26" s="3" t="s">
        <v>23</v>
      </c>
      <c r="L26" s="3" t="s">
        <v>2125</v>
      </c>
      <c r="M26" s="3" t="s">
        <v>2126</v>
      </c>
      <c r="N26" s="16" t="str">
        <f>HYPERLINK("https://electionmgmt.vermont.gov/TFA/DownLoadFinancialDisclosure?FileName=Preston Patricia FD1040_7aa411ce-3c47-4fa6-8fb1-17828cddc7b9.pdf", "Preston Patricia FD1040_7aa411ce-3c47-4fa6-8fb1-17828cddc7b9.pdf")</f>
        <v>Preston Patricia FD1040_7aa411ce-3c47-4fa6-8fb1-17828cddc7b9.pdf</v>
      </c>
      <c r="O26" s="3"/>
      <c r="P26" s="3"/>
      <c r="Q26" s="3"/>
      <c r="R26" s="3"/>
      <c r="S26" s="3"/>
      <c r="T26" s="3"/>
      <c r="U26" s="3"/>
      <c r="V26" s="3"/>
    </row>
    <row r="27" spans="1:22" s="4" customFormat="1" ht="31.5" x14ac:dyDescent="0.5">
      <c r="A27" s="3" t="s">
        <v>122</v>
      </c>
      <c r="B27" s="3" t="s">
        <v>23</v>
      </c>
      <c r="C27" s="3" t="s">
        <v>1160</v>
      </c>
      <c r="D27" s="3" t="s">
        <v>201</v>
      </c>
      <c r="E27" s="3" t="s">
        <v>76</v>
      </c>
      <c r="F27" s="3" t="s">
        <v>1161</v>
      </c>
      <c r="G27" s="3" t="s">
        <v>223</v>
      </c>
      <c r="H27" s="3" t="s">
        <v>20</v>
      </c>
      <c r="I27" s="5" t="s">
        <v>203</v>
      </c>
      <c r="J27" s="3" t="s">
        <v>1162</v>
      </c>
      <c r="K27" s="3" t="s">
        <v>23</v>
      </c>
      <c r="L27" s="3" t="s">
        <v>2195</v>
      </c>
      <c r="M27" s="3" t="s">
        <v>2196</v>
      </c>
      <c r="N27" s="16" t="str">
        <f>HYPERLINK("https://electionmgmt.vermont.gov/TFA/DownLoadFinancialDisclosure?FileName=Gregory Thayer 1040FD_03ee56ae-2c05-4d19-aae8-c0b5bef9a292.pdf", "Gregory Thayer 1040FD_03ee56ae-2c05-4d19-aae8-c0b5bef9a292.pdf")</f>
        <v>Gregory Thayer 1040FD_03ee56ae-2c05-4d19-aae8-c0b5bef9a292.pdf</v>
      </c>
      <c r="O27" s="3"/>
      <c r="P27" s="3"/>
      <c r="Q27" s="3"/>
      <c r="R27" s="3"/>
      <c r="S27" s="3"/>
      <c r="T27" s="3"/>
      <c r="U27" s="3"/>
      <c r="V27" s="3"/>
    </row>
    <row r="28" spans="1:22" s="4" customFormat="1" ht="31.5" x14ac:dyDescent="0.5">
      <c r="A28" s="3" t="s">
        <v>122</v>
      </c>
      <c r="B28" s="3" t="s">
        <v>23</v>
      </c>
      <c r="C28" s="3" t="s">
        <v>1942</v>
      </c>
      <c r="D28" s="3" t="s">
        <v>1428</v>
      </c>
      <c r="E28" s="3" t="s">
        <v>18</v>
      </c>
      <c r="F28" s="3" t="s">
        <v>1944</v>
      </c>
      <c r="G28" s="3" t="s">
        <v>46</v>
      </c>
      <c r="H28" s="3" t="s">
        <v>20</v>
      </c>
      <c r="I28" s="5" t="s">
        <v>1147</v>
      </c>
      <c r="J28" s="3" t="s">
        <v>1946</v>
      </c>
      <c r="K28" s="3" t="s">
        <v>23</v>
      </c>
      <c r="L28" s="3" t="s">
        <v>1948</v>
      </c>
      <c r="M28" s="3" t="s">
        <v>1950</v>
      </c>
      <c r="N28" s="16" t="str">
        <f>HYPERLINK("https://electionmgmt.vermont.gov/TFA/DownLoadFinancialDisclosure?FileName=Toll Kitty FD1040_647e578e-5f96-4b11-a300-efb7e7f311da.pdf", "Toll Kitty FD1040_647e578e-5f96-4b11-a300-efb7e7f311da.pdf")</f>
        <v>Toll Kitty FD1040_647e578e-5f96-4b11-a300-efb7e7f311da.pdf</v>
      </c>
      <c r="O28" s="3"/>
      <c r="P28" s="3"/>
      <c r="Q28" s="3"/>
      <c r="R28" s="3"/>
      <c r="S28" s="3"/>
      <c r="T28" s="3"/>
      <c r="U28" s="3"/>
      <c r="V28" s="3"/>
    </row>
    <row r="29" spans="1:22" s="4" customFormat="1" ht="31.5" x14ac:dyDescent="0.5">
      <c r="A29" s="3" t="s">
        <v>122</v>
      </c>
      <c r="B29" s="3" t="s">
        <v>23</v>
      </c>
      <c r="C29" s="3" t="s">
        <v>1943</v>
      </c>
      <c r="D29" s="3" t="s">
        <v>894</v>
      </c>
      <c r="E29" s="3" t="s">
        <v>18</v>
      </c>
      <c r="F29" s="3" t="s">
        <v>1945</v>
      </c>
      <c r="G29" s="3" t="s">
        <v>40</v>
      </c>
      <c r="H29" s="3" t="s">
        <v>20</v>
      </c>
      <c r="I29" s="5" t="s">
        <v>1526</v>
      </c>
      <c r="J29" s="3" t="s">
        <v>1947</v>
      </c>
      <c r="K29" s="3" t="s">
        <v>23</v>
      </c>
      <c r="L29" s="3" t="s">
        <v>1949</v>
      </c>
      <c r="M29" s="3" t="s">
        <v>1951</v>
      </c>
      <c r="N29" s="16" t="str">
        <f>HYPERLINK("https://electionmgmt.vermont.gov/TFA/DownLoadFinancialDisclosure?FileName=Zuckerman David FD1040_55d7b119-43f4-4dd7-9808-726c885fadbd.pdf", "Zuckerman David FD1040_55d7b119-43f4-4dd7-9808-726c885fadbd.pdf")</f>
        <v>Zuckerman David FD1040_55d7b119-43f4-4dd7-9808-726c885fadbd.pdf</v>
      </c>
      <c r="O29" s="3"/>
      <c r="P29" s="3"/>
      <c r="Q29" s="3"/>
      <c r="R29" s="3"/>
      <c r="S29" s="3"/>
      <c r="T29" s="3"/>
      <c r="U29" s="3"/>
      <c r="V29" s="3"/>
    </row>
    <row r="30" spans="1:22" s="4" customFormat="1" ht="31.5" x14ac:dyDescent="0.5">
      <c r="A30" s="3" t="s">
        <v>557</v>
      </c>
      <c r="B30" s="3" t="s">
        <v>23</v>
      </c>
      <c r="C30" s="3" t="s">
        <v>558</v>
      </c>
      <c r="D30" s="3" t="s">
        <v>400</v>
      </c>
      <c r="E30" s="3" t="s">
        <v>76</v>
      </c>
      <c r="F30" s="3" t="s">
        <v>559</v>
      </c>
      <c r="G30" s="3" t="s">
        <v>400</v>
      </c>
      <c r="H30" s="3" t="s">
        <v>20</v>
      </c>
      <c r="I30" s="5" t="s">
        <v>560</v>
      </c>
      <c r="J30" s="3" t="s">
        <v>561</v>
      </c>
      <c r="K30" s="3" t="s">
        <v>23</v>
      </c>
      <c r="L30" s="3" t="s">
        <v>562</v>
      </c>
      <c r="M30" s="3" t="s">
        <v>23</v>
      </c>
      <c r="N30" s="16" t="str">
        <f>HYPERLINK("https://electionmgmt.vermont.gov/TFA/DownLoadFinancialDisclosure?FileName=HBrookePaige 1040FD_4925433a-4b16-40a5-8b41-19aaa05f630a.pdf", "HBrookePaige 1040FD_4925433a-4b16-40a5-8b41-19aaa05f630a.pdf")</f>
        <v>HBrookePaige 1040FD_4925433a-4b16-40a5-8b41-19aaa05f630a.pdf</v>
      </c>
      <c r="O30" s="3"/>
      <c r="P30" s="3"/>
      <c r="Q30" s="3"/>
      <c r="R30" s="3"/>
      <c r="S30" s="3"/>
      <c r="T30" s="3"/>
      <c r="U30" s="3"/>
      <c r="V30" s="3"/>
    </row>
    <row r="31" spans="1:22" s="4" customFormat="1" ht="31.5" x14ac:dyDescent="0.5">
      <c r="A31" s="3" t="s">
        <v>557</v>
      </c>
      <c r="B31" s="3" t="s">
        <v>23</v>
      </c>
      <c r="C31" s="3" t="s">
        <v>1331</v>
      </c>
      <c r="D31" s="3" t="s">
        <v>1004</v>
      </c>
      <c r="E31" s="3" t="s">
        <v>18</v>
      </c>
      <c r="F31" s="3" t="s">
        <v>1332</v>
      </c>
      <c r="G31" s="3" t="s">
        <v>90</v>
      </c>
      <c r="H31" s="3" t="s">
        <v>20</v>
      </c>
      <c r="I31" s="5" t="s">
        <v>419</v>
      </c>
      <c r="J31" s="3" t="s">
        <v>1333</v>
      </c>
      <c r="K31" s="3" t="s">
        <v>23</v>
      </c>
      <c r="L31" s="3" t="s">
        <v>1334</v>
      </c>
      <c r="M31" s="3" t="s">
        <v>1335</v>
      </c>
      <c r="N31" s="16" t="str">
        <f>HYPERLINK("https://electionmgmt.vermont.gov/TFA/DownLoadFinancialDisclosure?FileName=Pieciak Michael FD1040_9c1b1c27-cc5b-453b-98dc-11e1edf98185.pdf", "Pieciak Michael FD1040_9c1b1c27-cc5b-453b-98dc-11e1edf98185.pdf")</f>
        <v>Pieciak Michael FD1040_9c1b1c27-cc5b-453b-98dc-11e1edf98185.pdf</v>
      </c>
      <c r="O31" s="3"/>
      <c r="P31" s="3"/>
      <c r="Q31" s="3"/>
      <c r="R31" s="3"/>
      <c r="S31" s="3"/>
      <c r="T31" s="3"/>
      <c r="U31" s="3"/>
      <c r="V31" s="3"/>
    </row>
    <row r="32" spans="1:22" s="4" customFormat="1" ht="31.5" x14ac:dyDescent="0.5">
      <c r="A32" s="3" t="s">
        <v>557</v>
      </c>
      <c r="B32" s="3" t="s">
        <v>23</v>
      </c>
      <c r="C32" s="3" t="s">
        <v>2162</v>
      </c>
      <c r="D32" s="3" t="s">
        <v>46</v>
      </c>
      <c r="E32" s="3" t="s">
        <v>1662</v>
      </c>
      <c r="F32" s="3" t="s">
        <v>2100</v>
      </c>
      <c r="G32" s="3" t="s">
        <v>46</v>
      </c>
      <c r="H32" s="3" t="s">
        <v>20</v>
      </c>
      <c r="I32" s="5" t="s">
        <v>359</v>
      </c>
      <c r="J32" s="3" t="s">
        <v>2101</v>
      </c>
      <c r="K32" s="3" t="s">
        <v>23</v>
      </c>
      <c r="L32" s="3" t="s">
        <v>2163</v>
      </c>
      <c r="M32" s="3"/>
      <c r="N32" s="16" t="str">
        <f>HYPERLINK("https://electionmgmt.vermont.gov/TFA/DownLoadFinancialDisclosure?FileName=Schramm Don FD1040_94c380e7-a2be-4196-8b8a-a14c209b5efb.pdf", "Schramm Don FD1040_94c380e7-a2be-4196-8b8a-a14c209b5efb.pdf")</f>
        <v>Schramm Don FD1040_94c380e7-a2be-4196-8b8a-a14c209b5efb.pdf</v>
      </c>
      <c r="O32" s="3"/>
      <c r="P32" s="3"/>
      <c r="Q32" s="3"/>
      <c r="R32" s="3"/>
      <c r="S32" s="3"/>
      <c r="T32" s="3"/>
      <c r="U32" s="3"/>
      <c r="V32" s="3"/>
    </row>
    <row r="33" spans="1:22" s="4" customFormat="1" ht="31.5" x14ac:dyDescent="0.5">
      <c r="A33" s="3" t="s">
        <v>86</v>
      </c>
      <c r="B33" s="3" t="s">
        <v>23</v>
      </c>
      <c r="C33" s="3" t="s">
        <v>760</v>
      </c>
      <c r="D33" s="3" t="s">
        <v>761</v>
      </c>
      <c r="E33" s="3" t="s">
        <v>18</v>
      </c>
      <c r="F33" s="3" t="s">
        <v>762</v>
      </c>
      <c r="G33" s="3" t="s">
        <v>761</v>
      </c>
      <c r="H33" s="3" t="s">
        <v>20</v>
      </c>
      <c r="I33" s="5" t="s">
        <v>763</v>
      </c>
      <c r="J33" s="3" t="s">
        <v>764</v>
      </c>
      <c r="K33" s="3" t="s">
        <v>23</v>
      </c>
      <c r="L33" s="3" t="s">
        <v>765</v>
      </c>
      <c r="M33" s="3" t="s">
        <v>766</v>
      </c>
      <c r="N33" s="16" t="str">
        <f>HYPERLINK("https://electionmgmt.vermont.gov/TFA/DownLoadFinancialDisclosure?FileName=Sarah Copeland Hanzas FD1040_5ca1d0b6-9373-47a1-bfb6-ffb667dc5aeb.pdf", "Sarah Copeland Hanzas FD1040_5ca1d0b6-9373-47a1-bfb6-ffb667dc5aeb.pdf")</f>
        <v>Sarah Copeland Hanzas FD1040_5ca1d0b6-9373-47a1-bfb6-ffb667dc5aeb.pdf</v>
      </c>
      <c r="O33" s="3"/>
      <c r="P33" s="3"/>
      <c r="Q33" s="3"/>
      <c r="R33" s="3"/>
      <c r="S33" s="3"/>
      <c r="T33" s="3"/>
      <c r="U33" s="3"/>
      <c r="V33" s="3"/>
    </row>
    <row r="34" spans="1:22" s="4" customFormat="1" ht="31.5" x14ac:dyDescent="0.5">
      <c r="A34" s="3" t="s">
        <v>86</v>
      </c>
      <c r="B34" s="3" t="s">
        <v>23</v>
      </c>
      <c r="C34" s="3" t="s">
        <v>2114</v>
      </c>
      <c r="D34" s="3" t="s">
        <v>1004</v>
      </c>
      <c r="E34" s="3" t="s">
        <v>1662</v>
      </c>
      <c r="F34" s="3" t="s">
        <v>2115</v>
      </c>
      <c r="G34" s="3" t="s">
        <v>1004</v>
      </c>
      <c r="H34" s="3" t="s">
        <v>20</v>
      </c>
      <c r="I34" s="5" t="s">
        <v>1005</v>
      </c>
      <c r="J34" s="3" t="s">
        <v>2116</v>
      </c>
      <c r="K34" s="3" t="s">
        <v>23</v>
      </c>
      <c r="L34" s="3" t="s">
        <v>2117</v>
      </c>
      <c r="M34" s="3" t="s">
        <v>2113</v>
      </c>
      <c r="N34" s="16" t="str">
        <f>HYPERLINK("https://electionmgmt.vermont.gov/TFA/DownLoadFinancialDisclosure?FileName=Millar Robert FD1040_cbbe3c4d-f6ef-42e2-ba32-dc3b3955f657.pdf", "Millar Robert FD1040_cbbe3c4d-f6ef-42e2-ba32-dc3b3955f657.pdf")</f>
        <v>Millar Robert FD1040_cbbe3c4d-f6ef-42e2-ba32-dc3b3955f657.pdf</v>
      </c>
      <c r="O34" s="3"/>
      <c r="P34" s="3"/>
      <c r="Q34" s="3"/>
      <c r="R34" s="3"/>
      <c r="S34" s="3"/>
      <c r="T34" s="3"/>
      <c r="U34" s="3"/>
      <c r="V34" s="3"/>
    </row>
    <row r="35" spans="1:22" s="4" customFormat="1" ht="31.5" x14ac:dyDescent="0.5">
      <c r="A35" s="3" t="s">
        <v>86</v>
      </c>
      <c r="B35" s="3" t="s">
        <v>23</v>
      </c>
      <c r="C35" s="3" t="s">
        <v>924</v>
      </c>
      <c r="D35" s="3" t="s">
        <v>90</v>
      </c>
      <c r="E35" s="3" t="s">
        <v>18</v>
      </c>
      <c r="F35" s="3" t="s">
        <v>925</v>
      </c>
      <c r="G35" s="3" t="s">
        <v>90</v>
      </c>
      <c r="H35" s="3" t="s">
        <v>20</v>
      </c>
      <c r="I35" s="5" t="s">
        <v>343</v>
      </c>
      <c r="J35" s="3" t="s">
        <v>926</v>
      </c>
      <c r="K35" s="3" t="s">
        <v>23</v>
      </c>
      <c r="L35" s="3" t="s">
        <v>927</v>
      </c>
      <c r="M35" s="3" t="s">
        <v>928</v>
      </c>
      <c r="N35" s="16" t="str">
        <f>HYPERLINK("https://electionmgmt.vermont.gov/TFA/DownLoadFinancialDisclosure?FileName=John Odum 1040FD_0d2e0bbb-ffd2-4e60-98f4-ef971faf824c.pdf", "John Odum 1040FD_0d2e0bbb-ffd2-4e60-98f4-ef971faf824c.pdf")</f>
        <v>John Odum 1040FD_0d2e0bbb-ffd2-4e60-98f4-ef971faf824c.pdf</v>
      </c>
      <c r="O35" s="3"/>
      <c r="P35" s="3"/>
      <c r="Q35" s="3"/>
      <c r="R35" s="3"/>
      <c r="S35" s="3"/>
      <c r="T35" s="3"/>
      <c r="U35" s="3"/>
      <c r="V35" s="3"/>
    </row>
    <row r="36" spans="1:22" s="4" customFormat="1" ht="31.5" x14ac:dyDescent="0.5">
      <c r="A36" s="3" t="s">
        <v>86</v>
      </c>
      <c r="B36" s="3" t="s">
        <v>23</v>
      </c>
      <c r="C36" s="3" t="s">
        <v>558</v>
      </c>
      <c r="D36" s="3" t="s">
        <v>400</v>
      </c>
      <c r="E36" s="3" t="s">
        <v>76</v>
      </c>
      <c r="F36" s="3" t="s">
        <v>559</v>
      </c>
      <c r="G36" s="3" t="s">
        <v>400</v>
      </c>
      <c r="H36" s="3" t="s">
        <v>20</v>
      </c>
      <c r="I36" s="5" t="s">
        <v>560</v>
      </c>
      <c r="J36" s="3" t="s">
        <v>561</v>
      </c>
      <c r="K36" s="3" t="s">
        <v>23</v>
      </c>
      <c r="L36" s="3" t="s">
        <v>562</v>
      </c>
      <c r="M36" s="3" t="s">
        <v>23</v>
      </c>
      <c r="N36" s="16" t="str">
        <f>HYPERLINK("https://electionmgmt.vermont.gov/TFA/DownLoadFinancialDisclosure?FileName=HBrookePaige 1040FD_4925433a-4b16-40a5-8b41-19aaa05f630a.pdf", "HBrookePaige 1040FD_4925433a-4b16-40a5-8b41-19aaa05f630a.pdf")</f>
        <v>HBrookePaige 1040FD_4925433a-4b16-40a5-8b41-19aaa05f630a.pdf</v>
      </c>
      <c r="O36" s="3"/>
      <c r="P36" s="3"/>
      <c r="Q36" s="3"/>
      <c r="R36" s="3"/>
      <c r="S36" s="3"/>
      <c r="T36" s="3"/>
      <c r="U36" s="3"/>
      <c r="V36" s="3"/>
    </row>
    <row r="37" spans="1:22" ht="31.5" x14ac:dyDescent="0.5">
      <c r="A37" s="3" t="s">
        <v>86</v>
      </c>
      <c r="B37" s="3" t="s">
        <v>23</v>
      </c>
      <c r="C37" s="3" t="s">
        <v>87</v>
      </c>
      <c r="D37" s="3" t="s">
        <v>88</v>
      </c>
      <c r="E37" s="3" t="s">
        <v>18</v>
      </c>
      <c r="F37" s="3" t="s">
        <v>89</v>
      </c>
      <c r="G37" s="3" t="s">
        <v>90</v>
      </c>
      <c r="H37" s="3" t="s">
        <v>20</v>
      </c>
      <c r="I37" s="5" t="s">
        <v>91</v>
      </c>
      <c r="J37" s="3" t="s">
        <v>92</v>
      </c>
      <c r="K37" s="3" t="s">
        <v>23</v>
      </c>
      <c r="L37" s="3" t="s">
        <v>93</v>
      </c>
      <c r="M37" s="3" t="s">
        <v>94</v>
      </c>
      <c r="N37" s="16" t="str">
        <f>HYPERLINK("https://electionmgmt.vermont.gov/TFA/DownLoadFinancialDisclosure?FileName=Winters Chris SOS FD1040_eb7b334e-f575-4088-92c9-4d52227991f8.pdf", "Winters Chris SOS FD1040_eb7b334e-f575-4088-92c9-4d52227991f8.pdf")</f>
        <v>Winters Chris SOS FD1040_eb7b334e-f575-4088-92c9-4d52227991f8.pdf</v>
      </c>
      <c r="O37" s="3"/>
      <c r="P37" s="3"/>
      <c r="Q37" s="3"/>
      <c r="R37" s="3"/>
      <c r="S37" s="3"/>
      <c r="T37" s="3"/>
      <c r="U37" s="3"/>
      <c r="V37" s="3"/>
    </row>
    <row r="38" spans="1:22" ht="31.5" x14ac:dyDescent="0.5">
      <c r="A38" s="3" t="s">
        <v>563</v>
      </c>
      <c r="B38" s="3" t="s">
        <v>23</v>
      </c>
      <c r="C38" s="3" t="s">
        <v>2118</v>
      </c>
      <c r="D38" s="3" t="s">
        <v>182</v>
      </c>
      <c r="E38" s="3" t="s">
        <v>1662</v>
      </c>
      <c r="F38" s="3" t="s">
        <v>2119</v>
      </c>
      <c r="G38" s="3" t="s">
        <v>182</v>
      </c>
      <c r="H38" s="3" t="s">
        <v>20</v>
      </c>
      <c r="I38" s="5" t="s">
        <v>184</v>
      </c>
      <c r="J38" s="3" t="s">
        <v>2120</v>
      </c>
      <c r="K38" s="3" t="s">
        <v>23</v>
      </c>
      <c r="L38" s="3" t="s">
        <v>2121</v>
      </c>
      <c r="M38" s="3" t="s">
        <v>23</v>
      </c>
      <c r="N38" s="16" t="str">
        <f>HYPERLINK("https://electionmgmt.vermont.gov/TFA/DownLoadFinancialDisclosure?FileName=Blais Marielle FD1040_ae9d81d9-86db-42ca-8f08-54f87340613e.pdf", "Blais Marielle FD1040_ae9d81d9-86db-42ca-8f08-54f87340613e.pdf")</f>
        <v>Blais Marielle FD1040_ae9d81d9-86db-42ca-8f08-54f87340613e.pdf</v>
      </c>
      <c r="O38" s="3"/>
      <c r="P38" s="3"/>
      <c r="Q38" s="3"/>
      <c r="R38" s="3"/>
      <c r="S38" s="3"/>
      <c r="T38" s="3"/>
      <c r="U38" s="3"/>
      <c r="V38" s="3"/>
    </row>
    <row r="39" spans="1:22" ht="31.5" x14ac:dyDescent="0.5">
      <c r="A39" s="3" t="s">
        <v>563</v>
      </c>
      <c r="B39" s="3" t="s">
        <v>23</v>
      </c>
      <c r="C39" s="3" t="s">
        <v>1336</v>
      </c>
      <c r="D39" s="3" t="s">
        <v>46</v>
      </c>
      <c r="E39" s="3" t="s">
        <v>18</v>
      </c>
      <c r="F39" s="3" t="s">
        <v>1337</v>
      </c>
      <c r="G39" s="3" t="s">
        <v>46</v>
      </c>
      <c r="H39" s="3" t="s">
        <v>20</v>
      </c>
      <c r="I39" s="5" t="s">
        <v>1147</v>
      </c>
      <c r="J39" s="3" t="s">
        <v>1338</v>
      </c>
      <c r="K39" s="3" t="s">
        <v>23</v>
      </c>
      <c r="L39" s="3" t="s">
        <v>1339</v>
      </c>
      <c r="M39" s="3" t="s">
        <v>23</v>
      </c>
      <c r="N39" s="16" t="str">
        <f>HYPERLINK("https://electionmgmt.vermont.gov/TFA/DownLoadFinancialDisclosure?FileName=Hoffer Doug FD1040_9aa7727e-ae05-451d-9f11-eda61a7218ca.pdf", "Hoffer Doug FD1040_9aa7727e-ae05-451d-9f11-eda61a7218ca.pdf")</f>
        <v>Hoffer Doug FD1040_9aa7727e-ae05-451d-9f11-eda61a7218ca.pdf</v>
      </c>
      <c r="O39" s="3"/>
      <c r="P39" s="3"/>
      <c r="Q39" s="3"/>
      <c r="R39" s="3"/>
      <c r="S39" s="3"/>
      <c r="T39" s="3"/>
      <c r="U39" s="3"/>
      <c r="V39" s="3"/>
    </row>
    <row r="40" spans="1:22" ht="31.5" x14ac:dyDescent="0.5">
      <c r="A40" s="3" t="s">
        <v>563</v>
      </c>
      <c r="B40" s="3" t="s">
        <v>23</v>
      </c>
      <c r="C40" s="3" t="s">
        <v>558</v>
      </c>
      <c r="D40" s="3" t="s">
        <v>400</v>
      </c>
      <c r="E40" s="3" t="s">
        <v>76</v>
      </c>
      <c r="F40" s="3" t="s">
        <v>559</v>
      </c>
      <c r="G40" s="3" t="s">
        <v>400</v>
      </c>
      <c r="H40" s="3" t="s">
        <v>20</v>
      </c>
      <c r="I40" s="5" t="s">
        <v>560</v>
      </c>
      <c r="J40" s="3" t="s">
        <v>561</v>
      </c>
      <c r="K40" s="3"/>
      <c r="L40" s="3" t="s">
        <v>562</v>
      </c>
      <c r="M40" s="3"/>
      <c r="N40" s="16" t="str">
        <f>HYPERLINK("https://electionmgmt.vermont.gov/TFA/DownLoadFinancialDisclosure?FileName=HBrookePaige 1040FD_4925433a-4b16-40a5-8b41-19aaa05f630a.pdf", "HBrookePaige 1040FD_4925433a-4b16-40a5-8b41-19aaa05f630a.pdf")</f>
        <v>HBrookePaige 1040FD_4925433a-4b16-40a5-8b41-19aaa05f630a.pdf</v>
      </c>
      <c r="O40" s="3"/>
      <c r="P40" s="3"/>
      <c r="Q40" s="3"/>
      <c r="R40" s="3"/>
      <c r="S40" s="3"/>
      <c r="T40" s="3"/>
      <c r="U40" s="3"/>
      <c r="V40" s="3"/>
    </row>
    <row r="41" spans="1:22" ht="31.5" x14ac:dyDescent="0.5">
      <c r="A41" s="3" t="s">
        <v>525</v>
      </c>
      <c r="B41" s="3" t="s">
        <v>23</v>
      </c>
      <c r="C41" s="3" t="s">
        <v>2164</v>
      </c>
      <c r="D41" s="3" t="s">
        <v>2165</v>
      </c>
      <c r="E41" s="3" t="s">
        <v>1662</v>
      </c>
      <c r="F41" s="3" t="s">
        <v>2166</v>
      </c>
      <c r="G41" s="3" t="s">
        <v>90</v>
      </c>
      <c r="H41" s="3" t="s">
        <v>20</v>
      </c>
      <c r="I41" s="5" t="s">
        <v>91</v>
      </c>
      <c r="J41" s="3" t="s">
        <v>2167</v>
      </c>
      <c r="K41" s="3" t="s">
        <v>23</v>
      </c>
      <c r="L41" s="3" t="s">
        <v>2168</v>
      </c>
      <c r="M41" s="3"/>
      <c r="N41" s="16" t="str">
        <f>HYPERLINK("https://electionmgmt.vermont.gov/TFA/DownLoadFinancialDisclosure?FileName=Bergman Elijah FD1040_d10b5239-b203-465b-9363-5213b9a6d001.pdf", "Bergman Elijah FD1040_d10b5239-b203-465b-9363-5213b9a6d001.pdf")</f>
        <v>Bergman Elijah FD1040_d10b5239-b203-465b-9363-5213b9a6d001.pdf</v>
      </c>
      <c r="O41" s="3"/>
      <c r="P41" s="3"/>
      <c r="Q41" s="3"/>
      <c r="R41" s="3"/>
      <c r="S41" s="3"/>
      <c r="T41" s="3"/>
      <c r="U41" s="3"/>
      <c r="V41" s="3"/>
    </row>
    <row r="42" spans="1:22" ht="31.5" x14ac:dyDescent="0.5">
      <c r="A42" s="3" t="s">
        <v>525</v>
      </c>
      <c r="B42" s="3" t="s">
        <v>23</v>
      </c>
      <c r="C42" s="3" t="s">
        <v>526</v>
      </c>
      <c r="D42" s="3" t="s">
        <v>527</v>
      </c>
      <c r="E42" s="3" t="s">
        <v>18</v>
      </c>
      <c r="F42" s="3" t="s">
        <v>528</v>
      </c>
      <c r="G42" s="3" t="s">
        <v>529</v>
      </c>
      <c r="H42" s="3" t="s">
        <v>20</v>
      </c>
      <c r="I42" s="5" t="s">
        <v>530</v>
      </c>
      <c r="J42" s="3" t="s">
        <v>531</v>
      </c>
      <c r="K42" s="3" t="s">
        <v>23</v>
      </c>
      <c r="L42" s="3" t="s">
        <v>532</v>
      </c>
      <c r="M42" s="3" t="s">
        <v>533</v>
      </c>
      <c r="N42" s="16" t="str">
        <f>HYPERLINK("https://electionmgmt.vermont.gov/TFA/DownLoadFinancialDisclosure?FileName=Clark Charity FD1040_2ea7e63b-da4a-47b8-bbbf-6fb35c8b424e.pdf", "Clark Charity FD1040_2ea7e63b-da4a-47b8-bbbf-6fb35c8b424e.pdf")</f>
        <v>Clark Charity FD1040_2ea7e63b-da4a-47b8-bbbf-6fb35c8b424e.pdf</v>
      </c>
      <c r="O42" s="3"/>
      <c r="P42" s="3"/>
      <c r="Q42" s="3"/>
      <c r="R42" s="3"/>
      <c r="S42" s="3"/>
      <c r="T42" s="3"/>
      <c r="U42" s="3"/>
      <c r="V42" s="3"/>
    </row>
    <row r="43" spans="1:22" ht="31.5" x14ac:dyDescent="0.5">
      <c r="A43" s="3" t="s">
        <v>525</v>
      </c>
      <c r="B43" s="3" t="s">
        <v>23</v>
      </c>
      <c r="C43" s="3" t="s">
        <v>558</v>
      </c>
      <c r="D43" s="3" t="s">
        <v>400</v>
      </c>
      <c r="E43" s="3" t="s">
        <v>76</v>
      </c>
      <c r="F43" s="3" t="s">
        <v>559</v>
      </c>
      <c r="G43" s="3" t="s">
        <v>400</v>
      </c>
      <c r="H43" s="3" t="s">
        <v>20</v>
      </c>
      <c r="I43" s="5" t="s">
        <v>560</v>
      </c>
      <c r="J43" s="3" t="s">
        <v>561</v>
      </c>
      <c r="K43" s="3"/>
      <c r="L43" s="3" t="s">
        <v>562</v>
      </c>
      <c r="M43" s="3"/>
      <c r="N43" s="16" t="str">
        <f>HYPERLINK("https://electionmgmt.vermont.gov/TFA/DownLoadFinancialDisclosure?FileName=HBrookePaige 1040FD_4925433a-4b16-40a5-8b41-19aaa05f630a.pdf", "HBrookePaige 1040FD_4925433a-4b16-40a5-8b41-19aaa05f630a.pdf")</f>
        <v>HBrookePaige 1040FD_4925433a-4b16-40a5-8b41-19aaa05f630a.pdf</v>
      </c>
      <c r="O43" s="3"/>
      <c r="P43" s="3"/>
      <c r="Q43" s="3"/>
      <c r="R43" s="3"/>
      <c r="S43" s="3"/>
      <c r="T43" s="3"/>
      <c r="U43" s="3"/>
      <c r="V43" s="3"/>
    </row>
    <row r="44" spans="1:22" ht="31.5" x14ac:dyDescent="0.5">
      <c r="A44" s="3" t="s">
        <v>525</v>
      </c>
      <c r="B44" s="3" t="s">
        <v>23</v>
      </c>
      <c r="C44" s="3" t="s">
        <v>612</v>
      </c>
      <c r="D44" s="3" t="s">
        <v>613</v>
      </c>
      <c r="E44" s="3" t="s">
        <v>18</v>
      </c>
      <c r="F44" s="3" t="s">
        <v>614</v>
      </c>
      <c r="G44" s="3" t="s">
        <v>613</v>
      </c>
      <c r="H44" s="3" t="s">
        <v>20</v>
      </c>
      <c r="I44" s="5" t="s">
        <v>615</v>
      </c>
      <c r="J44" s="3" t="s">
        <v>616</v>
      </c>
      <c r="K44" s="3" t="s">
        <v>23</v>
      </c>
      <c r="L44" s="3" t="s">
        <v>617</v>
      </c>
      <c r="M44" s="3" t="s">
        <v>618</v>
      </c>
      <c r="N44" s="16" t="str">
        <f>HYPERLINK("https://electionmgmt.vermont.gov/TFA/DownLoadFinancialDisclosure?FileName=Thibault Rory FD1040_2c5112dc-b49b-4d77-bcba-b12f1362fecf.pdf", "Thibault Rory FD1040_2c5112dc-b49b-4d77-bcba-b12f1362fecf.pdf")</f>
        <v>Thibault Rory FD1040_2c5112dc-b49b-4d77-bcba-b12f1362fecf.pdf</v>
      </c>
      <c r="O44" s="3"/>
      <c r="P44" s="3"/>
      <c r="Q44" s="3"/>
      <c r="R44" s="3"/>
      <c r="S44" s="3"/>
      <c r="T44" s="3"/>
      <c r="U44" s="3"/>
      <c r="V44" s="3"/>
    </row>
    <row r="45" spans="1:22" ht="31.5" x14ac:dyDescent="0.5">
      <c r="A45" s="3" t="s">
        <v>131</v>
      </c>
      <c r="B45" s="3" t="s">
        <v>787</v>
      </c>
      <c r="C45" s="3" t="s">
        <v>1340</v>
      </c>
      <c r="D45" s="3" t="s">
        <v>446</v>
      </c>
      <c r="E45" s="3" t="s">
        <v>18</v>
      </c>
      <c r="F45" s="3" t="s">
        <v>1341</v>
      </c>
      <c r="G45" s="3" t="s">
        <v>446</v>
      </c>
      <c r="H45" s="3" t="s">
        <v>20</v>
      </c>
      <c r="I45" s="5" t="s">
        <v>372</v>
      </c>
      <c r="J45" s="3" t="s">
        <v>1342</v>
      </c>
      <c r="K45" s="3" t="s">
        <v>23</v>
      </c>
      <c r="L45" s="3" t="s">
        <v>1343</v>
      </c>
      <c r="M45" s="3" t="s">
        <v>1344</v>
      </c>
      <c r="N45" s="16" t="str">
        <f>HYPERLINK("https://electionmgmt.vermont.gov/TFA/DownLoadFinancialDisclosure?FileName=Bray-financial disclosure 2022_6691a4de-525b-4f6a-b3ac-dd8522d486bb.pdf", "Bray-financial disclosure 2022_6691a4de-525b-4f6a-b3ac-dd8522d486bb.pdf")</f>
        <v>Bray-financial disclosure 2022_6691a4de-525b-4f6a-b3ac-dd8522d486bb.pdf</v>
      </c>
      <c r="O45" s="3"/>
      <c r="P45" s="3"/>
      <c r="Q45" s="3"/>
      <c r="R45" s="3"/>
      <c r="S45" s="3"/>
      <c r="T45" s="3"/>
      <c r="U45" s="3"/>
      <c r="V45" s="3"/>
    </row>
    <row r="46" spans="1:22" ht="31.5" x14ac:dyDescent="0.5">
      <c r="A46" s="3" t="s">
        <v>131</v>
      </c>
      <c r="B46" s="3" t="s">
        <v>787</v>
      </c>
      <c r="C46" s="3" t="s">
        <v>1345</v>
      </c>
      <c r="D46" s="3" t="s">
        <v>553</v>
      </c>
      <c r="E46" s="3" t="s">
        <v>18</v>
      </c>
      <c r="F46" s="3" t="s">
        <v>1346</v>
      </c>
      <c r="G46" s="3" t="s">
        <v>1347</v>
      </c>
      <c r="H46" s="3" t="s">
        <v>20</v>
      </c>
      <c r="I46" s="5" t="s">
        <v>796</v>
      </c>
      <c r="J46" s="3" t="s">
        <v>1348</v>
      </c>
      <c r="K46" s="3" t="s">
        <v>23</v>
      </c>
      <c r="L46" s="3" t="s">
        <v>1349</v>
      </c>
      <c r="M46" s="3" t="s">
        <v>1350</v>
      </c>
      <c r="N46" s="16" t="str">
        <f>HYPERLINK("https://electionmgmt.vermont.gov/TFA/DownLoadFinancialDisclosure?FileName=Hardy-financial disclosure 2022_2a828649-8689-4150-8ec5-1377797b5ea5.pdf", "Hardy-financial disclosure 2022_2a828649-8689-4150-8ec5-1377797b5ea5.pdf")</f>
        <v>Hardy-financial disclosure 2022_2a828649-8689-4150-8ec5-1377797b5ea5.pdf</v>
      </c>
      <c r="O46" s="3"/>
      <c r="P46" s="3"/>
      <c r="Q46" s="3"/>
      <c r="R46" s="3"/>
      <c r="S46" s="3"/>
      <c r="T46" s="3"/>
      <c r="U46" s="3"/>
      <c r="V46" s="3"/>
    </row>
    <row r="47" spans="1:22" ht="31.5" x14ac:dyDescent="0.5">
      <c r="A47" s="3" t="s">
        <v>131</v>
      </c>
      <c r="B47" s="3" t="s">
        <v>767</v>
      </c>
      <c r="C47" s="3" t="s">
        <v>768</v>
      </c>
      <c r="D47" s="3" t="s">
        <v>177</v>
      </c>
      <c r="E47" s="3" t="s">
        <v>18</v>
      </c>
      <c r="F47" s="3" t="s">
        <v>769</v>
      </c>
      <c r="G47" s="3" t="s">
        <v>177</v>
      </c>
      <c r="H47" s="3" t="s">
        <v>20</v>
      </c>
      <c r="I47" s="5" t="s">
        <v>179</v>
      </c>
      <c r="J47" s="3" t="s">
        <v>23</v>
      </c>
      <c r="K47" s="3" t="s">
        <v>23</v>
      </c>
      <c r="L47" s="3" t="s">
        <v>23</v>
      </c>
      <c r="M47" s="3"/>
      <c r="N47" s="16" t="str">
        <f>HYPERLINK("https://electionmgmt.vermont.gov/TFA/DownLoadFinancialDisclosure?FileName=campion_4a5da65c-7841-4956-b643-f673d91c7071.pdf", "campion_4a5da65c-7841-4956-b643-f673d91c7071.pdf")</f>
        <v>campion_4a5da65c-7841-4956-b643-f673d91c7071.pdf</v>
      </c>
      <c r="O47" s="3"/>
      <c r="P47" s="3"/>
      <c r="Q47" s="3"/>
      <c r="R47" s="3"/>
      <c r="S47" s="3"/>
      <c r="T47" s="3"/>
      <c r="U47" s="3"/>
      <c r="V47" s="3"/>
    </row>
    <row r="48" spans="1:22" ht="31.5" x14ac:dyDescent="0.5">
      <c r="A48" s="3" t="s">
        <v>131</v>
      </c>
      <c r="B48" s="3" t="s">
        <v>767</v>
      </c>
      <c r="C48" s="3" t="s">
        <v>929</v>
      </c>
      <c r="D48" s="3" t="s">
        <v>177</v>
      </c>
      <c r="E48" s="3" t="s">
        <v>18</v>
      </c>
      <c r="F48" s="3" t="s">
        <v>930</v>
      </c>
      <c r="G48" s="3" t="s">
        <v>177</v>
      </c>
      <c r="H48" s="3" t="s">
        <v>20</v>
      </c>
      <c r="I48" s="5" t="s">
        <v>179</v>
      </c>
      <c r="J48" s="3" t="s">
        <v>23</v>
      </c>
      <c r="K48" s="3" t="s">
        <v>23</v>
      </c>
      <c r="L48" s="3" t="s">
        <v>23</v>
      </c>
      <c r="M48" s="3" t="s">
        <v>23</v>
      </c>
      <c r="N48" s="16" t="str">
        <f>HYPERLINK("https://electionmgmt.vermont.gov/TFA/DownLoadFinancialDisclosure?FileName=sears_7847fcdd-991a-4ca9-9060-23f13284d160.pdf", "sears_7847fcdd-991a-4ca9-9060-23f13284d160.pdf")</f>
        <v>sears_7847fcdd-991a-4ca9-9060-23f13284d160.pdf</v>
      </c>
      <c r="O48" s="3"/>
      <c r="P48" s="3"/>
      <c r="Q48" s="3"/>
      <c r="R48" s="3"/>
      <c r="S48" s="3"/>
      <c r="T48" s="3"/>
      <c r="U48" s="3"/>
      <c r="V48" s="3"/>
    </row>
    <row r="49" spans="1:22" ht="31.5" x14ac:dyDescent="0.5">
      <c r="A49" s="3" t="s">
        <v>131</v>
      </c>
      <c r="B49" s="3" t="s">
        <v>1850</v>
      </c>
      <c r="C49" s="3" t="s">
        <v>1880</v>
      </c>
      <c r="D49" s="3" t="s">
        <v>1537</v>
      </c>
      <c r="E49" s="3" t="s">
        <v>76</v>
      </c>
      <c r="F49" s="3" t="s">
        <v>1881</v>
      </c>
      <c r="G49" s="3" t="s">
        <v>1882</v>
      </c>
      <c r="H49" s="3" t="s">
        <v>20</v>
      </c>
      <c r="I49" s="5" t="s">
        <v>1883</v>
      </c>
      <c r="J49" s="3" t="s">
        <v>1884</v>
      </c>
      <c r="K49" s="3" t="s">
        <v>23</v>
      </c>
      <c r="L49" s="3" t="s">
        <v>1885</v>
      </c>
      <c r="M49" s="3" t="s">
        <v>1886</v>
      </c>
      <c r="N49" s="16" t="str">
        <f>HYPERLINK("https://electionmgmt.vermont.gov/TFA/DownLoadFinancialDisclosure?FileName=.jt dodge_22052617280_f3cb62fe-1601-4dfb-8850-db6e46b896ed.pdf", ".jt dodge_22052617280_f3cb62fe-1601-4dfb-8850-db6e46b896ed.pdf")</f>
        <v>.jt dodge_22052617280_f3cb62fe-1601-4dfb-8850-db6e46b896ed.pdf</v>
      </c>
      <c r="O49" s="3"/>
      <c r="P49" s="3"/>
      <c r="Q49" s="3"/>
      <c r="R49" s="3"/>
      <c r="S49" s="3"/>
      <c r="T49" s="3"/>
      <c r="U49" s="3"/>
      <c r="V49" s="3"/>
    </row>
    <row r="50" spans="1:22" ht="31.5" x14ac:dyDescent="0.5">
      <c r="A50" s="3" t="s">
        <v>131</v>
      </c>
      <c r="B50" s="3" t="s">
        <v>1850</v>
      </c>
      <c r="C50" s="3" t="s">
        <v>1851</v>
      </c>
      <c r="D50" s="3" t="s">
        <v>1428</v>
      </c>
      <c r="E50" s="3" t="s">
        <v>18</v>
      </c>
      <c r="F50" s="3" t="s">
        <v>1852</v>
      </c>
      <c r="G50" s="3" t="s">
        <v>1428</v>
      </c>
      <c r="H50" s="3" t="s">
        <v>20</v>
      </c>
      <c r="I50" s="5" t="s">
        <v>1429</v>
      </c>
      <c r="J50" s="3" t="s">
        <v>1853</v>
      </c>
      <c r="K50" s="3" t="s">
        <v>1854</v>
      </c>
      <c r="L50" s="3" t="s">
        <v>1855</v>
      </c>
      <c r="M50" s="3" t="s">
        <v>1856</v>
      </c>
      <c r="N50" s="16" t="str">
        <f>HYPERLINK("https://electionmgmt.vermont.gov/TFA/DownLoadFinancialDisclosure?FileName=.jane kitchel _22052617270_c193e943-2686-4efc-9fe1-f4e6a5d0a3b6.pdf", ".jane kitchel _22052617270_c193e943-2686-4efc-9fe1-f4e6a5d0a3b6.pdf")</f>
        <v>.jane kitchel _22052617270_c193e943-2686-4efc-9fe1-f4e6a5d0a3b6.pdf</v>
      </c>
      <c r="O50" s="3"/>
      <c r="P50" s="3"/>
      <c r="Q50" s="3"/>
      <c r="R50" s="3"/>
      <c r="S50" s="3"/>
      <c r="T50" s="3"/>
      <c r="U50" s="3"/>
      <c r="V50" s="3"/>
    </row>
    <row r="51" spans="1:22" ht="31.5" x14ac:dyDescent="0.5">
      <c r="A51" s="3" t="s">
        <v>131</v>
      </c>
      <c r="B51" s="3" t="s">
        <v>473</v>
      </c>
      <c r="C51" s="3" t="s">
        <v>474</v>
      </c>
      <c r="D51" s="3" t="s">
        <v>46</v>
      </c>
      <c r="E51" s="3" t="s">
        <v>18</v>
      </c>
      <c r="F51" s="3" t="s">
        <v>475</v>
      </c>
      <c r="G51" s="3" t="s">
        <v>46</v>
      </c>
      <c r="H51" s="3" t="s">
        <v>20</v>
      </c>
      <c r="I51" s="5" t="s">
        <v>359</v>
      </c>
      <c r="J51" s="3" t="s">
        <v>476</v>
      </c>
      <c r="K51" s="3" t="s">
        <v>476</v>
      </c>
      <c r="L51" s="3" t="s">
        <v>477</v>
      </c>
      <c r="M51" s="3" t="s">
        <v>478</v>
      </c>
      <c r="N51" s="16" t="str">
        <f>HYPERLINK("https://electionmgmt.vermont.gov/TFA/DownLoadFinancialDisclosure?FileName=Baruthfinancialdisclosure_38dded50-3f2e-47d1-882e-aab35d38e436.pdf", "Baruthfinancialdisclosure_38dded50-3f2e-47d1-882e-aab35d38e436.pdf")</f>
        <v>Baruthfinancialdisclosure_38dded50-3f2e-47d1-882e-aab35d38e436.pdf</v>
      </c>
      <c r="O51" s="3"/>
      <c r="P51" s="3"/>
      <c r="Q51" s="3"/>
      <c r="R51" s="3"/>
      <c r="S51" s="3"/>
      <c r="T51" s="3"/>
      <c r="U51" s="3"/>
      <c r="V51" s="3"/>
    </row>
    <row r="52" spans="1:22" ht="31.5" x14ac:dyDescent="0.5">
      <c r="A52" s="3" t="s">
        <v>131</v>
      </c>
      <c r="B52" s="3" t="s">
        <v>473</v>
      </c>
      <c r="C52" s="3" t="s">
        <v>1351</v>
      </c>
      <c r="D52" s="3" t="s">
        <v>2186</v>
      </c>
      <c r="E52" s="3" t="s">
        <v>18</v>
      </c>
      <c r="F52" s="3" t="s">
        <v>1352</v>
      </c>
      <c r="G52" s="3" t="s">
        <v>272</v>
      </c>
      <c r="H52" s="3" t="s">
        <v>20</v>
      </c>
      <c r="I52" s="5" t="s">
        <v>274</v>
      </c>
      <c r="J52" s="3" t="s">
        <v>1353</v>
      </c>
      <c r="K52" s="3" t="s">
        <v>1353</v>
      </c>
      <c r="L52" s="3" t="s">
        <v>1354</v>
      </c>
      <c r="M52" s="3" t="s">
        <v>1355</v>
      </c>
      <c r="N52" s="16" t="str">
        <f>HYPERLINK("https://electionmgmt.vermont.gov/TFA/DownLoadFinancialDisclosure?FileName=Brownfinancialdisclosure_459d6a27-de84-4af5-9bab-475b717f46f0.pdf", "Brownfinancialdisclosure_459d6a27-de84-4af5-9bab-475b717f46f0.pdf")</f>
        <v>Brownfinancialdisclosure_459d6a27-de84-4af5-9bab-475b717f46f0.pdf</v>
      </c>
      <c r="O52" s="3"/>
      <c r="P52" s="3"/>
      <c r="Q52" s="3"/>
      <c r="R52" s="3"/>
      <c r="S52" s="3"/>
      <c r="T52" s="3"/>
      <c r="U52" s="3"/>
      <c r="V52" s="3"/>
    </row>
    <row r="53" spans="1:22" ht="31.5" x14ac:dyDescent="0.5">
      <c r="A53" s="3" t="s">
        <v>131</v>
      </c>
      <c r="B53" s="3" t="s">
        <v>473</v>
      </c>
      <c r="C53" s="3" t="s">
        <v>1857</v>
      </c>
      <c r="D53" s="3" t="s">
        <v>46</v>
      </c>
      <c r="E53" s="3" t="s">
        <v>18</v>
      </c>
      <c r="F53" s="3" t="s">
        <v>1858</v>
      </c>
      <c r="G53" s="3" t="s">
        <v>46</v>
      </c>
      <c r="H53" s="3" t="s">
        <v>20</v>
      </c>
      <c r="I53" s="5" t="s">
        <v>1147</v>
      </c>
      <c r="J53" s="3" t="s">
        <v>1859</v>
      </c>
      <c r="K53" s="3" t="s">
        <v>1859</v>
      </c>
      <c r="L53" s="3" t="s">
        <v>1860</v>
      </c>
      <c r="M53" s="3" t="s">
        <v>1861</v>
      </c>
      <c r="N53" s="16" t="str">
        <f>HYPERLINK("https://electionmgmt.vermont.gov/TFA/DownLoadFinancialDisclosure?FileName=Ellisfinancialdisclosure_369d1f28-d815-401c-95f3-496f9be9d69b.pdf", "Ellisfinancialdisclosure_369d1f28-d815-401c-95f3-496f9be9d69b.pdf")</f>
        <v>Ellisfinancialdisclosure_369d1f28-d815-401c-95f3-496f9be9d69b.pdf</v>
      </c>
      <c r="O53" s="3"/>
      <c r="P53" s="3"/>
      <c r="Q53" s="3"/>
      <c r="R53" s="3"/>
      <c r="S53" s="3"/>
      <c r="T53" s="3"/>
      <c r="U53" s="3"/>
      <c r="V53" s="3"/>
    </row>
    <row r="54" spans="1:22" ht="31.5" x14ac:dyDescent="0.5">
      <c r="A54" s="3" t="s">
        <v>131</v>
      </c>
      <c r="B54" s="3" t="s">
        <v>473</v>
      </c>
      <c r="C54" s="3" t="s">
        <v>1356</v>
      </c>
      <c r="D54" s="3" t="s">
        <v>46</v>
      </c>
      <c r="E54" s="3" t="s">
        <v>18</v>
      </c>
      <c r="F54" s="3" t="s">
        <v>1357</v>
      </c>
      <c r="G54" s="3" t="s">
        <v>46</v>
      </c>
      <c r="H54" s="3" t="s">
        <v>20</v>
      </c>
      <c r="I54" s="5" t="s">
        <v>48</v>
      </c>
      <c r="J54" s="3" t="s">
        <v>1358</v>
      </c>
      <c r="K54" s="3" t="s">
        <v>1358</v>
      </c>
      <c r="L54" s="3" t="s">
        <v>1359</v>
      </c>
      <c r="M54" s="3" t="s">
        <v>23</v>
      </c>
      <c r="N54" s="16" t="str">
        <f>HYPERLINK("https://electionmgmt.vermont.gov/TFA/DownLoadFinancialDisclosure?FileName=Gulickfinancialdisclosure_4596e4bd-eadd-4cb0-b7f4-6dd461f75648.pdf", "Gulickfinancialdisclosure_4596e4bd-eadd-4cb0-b7f4-6dd461f75648.pdf")</f>
        <v>Gulickfinancialdisclosure_4596e4bd-eadd-4cb0-b7f4-6dd461f75648.pdf</v>
      </c>
      <c r="O54" s="3"/>
      <c r="P54" s="3"/>
      <c r="Q54" s="3"/>
      <c r="R54" s="3"/>
      <c r="S54" s="3"/>
      <c r="T54" s="3"/>
      <c r="U54" s="3"/>
      <c r="V54" s="3"/>
    </row>
    <row r="55" spans="1:22" ht="31.5" x14ac:dyDescent="0.5">
      <c r="A55" s="3" t="s">
        <v>131</v>
      </c>
      <c r="B55" s="3" t="s">
        <v>473</v>
      </c>
      <c r="C55" s="3" t="s">
        <v>1862</v>
      </c>
      <c r="D55" s="3" t="s">
        <v>46</v>
      </c>
      <c r="E55" s="3" t="s">
        <v>18</v>
      </c>
      <c r="F55" s="3" t="s">
        <v>1863</v>
      </c>
      <c r="G55" s="3" t="s">
        <v>46</v>
      </c>
      <c r="H55" s="3" t="s">
        <v>20</v>
      </c>
      <c r="I55" s="5" t="s">
        <v>359</v>
      </c>
      <c r="J55" s="3" t="s">
        <v>1864</v>
      </c>
      <c r="K55" s="3" t="s">
        <v>1864</v>
      </c>
      <c r="L55" s="3" t="s">
        <v>1865</v>
      </c>
      <c r="M55" s="3" t="s">
        <v>1866</v>
      </c>
      <c r="N55" s="16" t="str">
        <f>HYPERLINK("https://electionmgmt.vermont.gov/TFA/DownLoadFinancialDisclosure?FileName=Mahnkefinancialdisclosure_c02c4228-6cba-4680-95df-a391758e6ead.pdf", "Mahnkefinancialdisclosure_c02c4228-6cba-4680-95df-a391758e6ead.pdf")</f>
        <v>Mahnkefinancialdisclosure_c02c4228-6cba-4680-95df-a391758e6ead.pdf</v>
      </c>
      <c r="O55" s="3"/>
      <c r="P55" s="3"/>
      <c r="Q55" s="3"/>
      <c r="R55" s="3"/>
      <c r="S55" s="3"/>
      <c r="T55" s="3"/>
      <c r="U55" s="3"/>
      <c r="V55" s="3"/>
    </row>
    <row r="56" spans="1:22" ht="31.5" x14ac:dyDescent="0.5">
      <c r="A56" s="3" t="s">
        <v>131</v>
      </c>
      <c r="B56" s="3" t="s">
        <v>473</v>
      </c>
      <c r="C56" s="3" t="s">
        <v>1360</v>
      </c>
      <c r="D56" s="3" t="s">
        <v>2181</v>
      </c>
      <c r="E56" s="3" t="s">
        <v>18</v>
      </c>
      <c r="F56" s="3" t="s">
        <v>1361</v>
      </c>
      <c r="G56" s="3" t="s">
        <v>272</v>
      </c>
      <c r="H56" s="3" t="s">
        <v>20</v>
      </c>
      <c r="I56" s="5" t="s">
        <v>297</v>
      </c>
      <c r="J56" s="3" t="s">
        <v>1362</v>
      </c>
      <c r="K56" s="3" t="s">
        <v>1362</v>
      </c>
      <c r="L56" s="3" t="s">
        <v>1363</v>
      </c>
      <c r="M56" s="3" t="s">
        <v>1364</v>
      </c>
      <c r="N56" s="16" t="str">
        <f>HYPERLINK("https://electionmgmt.vermont.gov/TFA/DownLoadFinancialDisclosure?FileName=Vyhovskyfinancialdisclosure_caefd6c1-6d49-4335-9a57-a9467c8ec88b.pdf", "Vyhovskyfinancialdisclosure_caefd6c1-6d49-4335-9a57-a9467c8ec88b.pdf")</f>
        <v>Vyhovskyfinancialdisclosure_caefd6c1-6d49-4335-9a57-a9467c8ec88b.pdf</v>
      </c>
      <c r="O56" s="3"/>
      <c r="P56" s="3"/>
      <c r="Q56" s="3"/>
      <c r="R56" s="3"/>
      <c r="S56" s="3"/>
      <c r="T56" s="3"/>
      <c r="U56" s="3"/>
      <c r="V56" s="3"/>
    </row>
    <row r="57" spans="1:22" ht="31.5" x14ac:dyDescent="0.5">
      <c r="A57" s="3" t="s">
        <v>131</v>
      </c>
      <c r="B57" s="3" t="s">
        <v>270</v>
      </c>
      <c r="C57" s="3" t="s">
        <v>653</v>
      </c>
      <c r="D57" s="3" t="s">
        <v>654</v>
      </c>
      <c r="E57" s="3" t="s">
        <v>76</v>
      </c>
      <c r="F57" s="3" t="s">
        <v>655</v>
      </c>
      <c r="G57" s="3" t="s">
        <v>654</v>
      </c>
      <c r="H57" s="3" t="s">
        <v>20</v>
      </c>
      <c r="I57" s="5" t="s">
        <v>656</v>
      </c>
      <c r="J57" s="3" t="s">
        <v>657</v>
      </c>
      <c r="K57" s="3" t="s">
        <v>657</v>
      </c>
      <c r="L57" s="3" t="s">
        <v>658</v>
      </c>
      <c r="M57" s="3" t="s">
        <v>23</v>
      </c>
      <c r="N57" s="16" t="str">
        <f>HYPERLINK("https://electionmgmt.vermont.gov/TFA/DownLoadFinancialDisclosure?FileName=morganfinancialdisclosure_4813b4a6-2fe1-4c50-82a4-7394d5c17773.pdf", "morganfinancialdisclosure_4813b4a6-2fe1-4c50-82a4-7394d5c17773.pdf")</f>
        <v>morganfinancialdisclosure_4813b4a6-2fe1-4c50-82a4-7394d5c17773.pdf</v>
      </c>
      <c r="O57" s="3"/>
      <c r="P57" s="3"/>
      <c r="Q57" s="3"/>
      <c r="R57" s="3"/>
      <c r="S57" s="3"/>
      <c r="T57" s="3"/>
      <c r="U57" s="3"/>
      <c r="V57" s="3"/>
    </row>
    <row r="58" spans="1:22" ht="31.5" x14ac:dyDescent="0.5">
      <c r="A58" s="3" t="s">
        <v>131</v>
      </c>
      <c r="B58" s="3" t="s">
        <v>270</v>
      </c>
      <c r="C58" s="3" t="s">
        <v>352</v>
      </c>
      <c r="D58" s="3" t="s">
        <v>2181</v>
      </c>
      <c r="E58" s="3" t="s">
        <v>18</v>
      </c>
      <c r="F58" s="3" t="s">
        <v>353</v>
      </c>
      <c r="G58" s="3" t="s">
        <v>272</v>
      </c>
      <c r="H58" s="3" t="s">
        <v>20</v>
      </c>
      <c r="I58" s="5" t="s">
        <v>297</v>
      </c>
      <c r="J58" s="3" t="s">
        <v>354</v>
      </c>
      <c r="K58" s="3" t="s">
        <v>354</v>
      </c>
      <c r="L58" s="3" t="s">
        <v>355</v>
      </c>
      <c r="M58" s="3" t="s">
        <v>356</v>
      </c>
      <c r="N58" s="16" t="str">
        <f>HYPERLINK("https://electionmgmt.vermont.gov/TFA/DownLoadFinancialDisclosure?FileName=SheldenFinancialDisclosure_2c8b585f-202d-4d4d-847e-fed6d6c00831.pdf", "SheldenFinancialDisclosure_2c8b585f-202d-4d4d-847e-fed6d6c00831.pdf")</f>
        <v>SheldenFinancialDisclosure_2c8b585f-202d-4d4d-847e-fed6d6c00831.pdf</v>
      </c>
      <c r="O58" s="3"/>
      <c r="P58" s="3"/>
      <c r="Q58" s="3"/>
      <c r="R58" s="3"/>
      <c r="S58" s="3"/>
      <c r="T58" s="3"/>
      <c r="U58" s="3"/>
      <c r="V58" s="3"/>
    </row>
    <row r="59" spans="1:22" ht="31.5" x14ac:dyDescent="0.5">
      <c r="A59" s="3" t="s">
        <v>131</v>
      </c>
      <c r="B59" s="3" t="s">
        <v>270</v>
      </c>
      <c r="C59" s="3" t="s">
        <v>271</v>
      </c>
      <c r="D59" s="3" t="s">
        <v>2181</v>
      </c>
      <c r="E59" s="3" t="s">
        <v>18</v>
      </c>
      <c r="F59" s="3" t="s">
        <v>273</v>
      </c>
      <c r="G59" s="3" t="s">
        <v>272</v>
      </c>
      <c r="H59" s="3" t="s">
        <v>20</v>
      </c>
      <c r="I59" s="5" t="s">
        <v>274</v>
      </c>
      <c r="J59" s="3" t="s">
        <v>275</v>
      </c>
      <c r="K59" s="3" t="s">
        <v>275</v>
      </c>
      <c r="L59" s="3" t="s">
        <v>276</v>
      </c>
      <c r="M59" s="3" t="s">
        <v>277</v>
      </c>
      <c r="N59" s="16" t="str">
        <f>HYPERLINK("https://electionmgmt.vermont.gov/TFA/DownLoadFinancialDisclosure?FileName=Wrennerdisclosure_0563a181-c5af-4b85-8da8-5af02292cc67.pdf", "Wrennerdisclosure_0563a181-c5af-4b85-8da8-5af02292cc67.pdf")</f>
        <v>Wrennerdisclosure_0563a181-c5af-4b85-8da8-5af02292cc67.pdf</v>
      </c>
      <c r="O59" s="3"/>
      <c r="P59" s="3"/>
      <c r="Q59" s="3"/>
      <c r="R59" s="3"/>
      <c r="S59" s="3"/>
      <c r="T59" s="3"/>
      <c r="U59" s="3"/>
      <c r="V59" s="3"/>
    </row>
    <row r="60" spans="1:22" ht="31.5" x14ac:dyDescent="0.5">
      <c r="A60" s="3" t="s">
        <v>131</v>
      </c>
      <c r="B60" s="3" t="s">
        <v>315</v>
      </c>
      <c r="C60" s="3" t="s">
        <v>316</v>
      </c>
      <c r="D60" s="3" t="s">
        <v>40</v>
      </c>
      <c r="E60" s="3" t="s">
        <v>18</v>
      </c>
      <c r="F60" s="3" t="s">
        <v>317</v>
      </c>
      <c r="G60" s="3" t="s">
        <v>40</v>
      </c>
      <c r="H60" s="3" t="s">
        <v>20</v>
      </c>
      <c r="I60" s="5" t="s">
        <v>42</v>
      </c>
      <c r="J60" s="3" t="s">
        <v>318</v>
      </c>
      <c r="K60" s="3" t="s">
        <v>318</v>
      </c>
      <c r="L60" s="3" t="s">
        <v>319</v>
      </c>
      <c r="M60" s="3" t="s">
        <v>320</v>
      </c>
      <c r="N60" s="16" t="str">
        <f>HYPERLINK("https://electionmgmt.vermont.gov/TFA/DownLoadFinancialDisclosure?FileName=chittendenfinancialdisclosure_bb29d4f7-0ce1-4c3c-ac89-2ac7a8d37bd7.pdf", "chittendenfinancialdisclosure_bb29d4f7-0ce1-4c3c-ac89-2ac7a8d37bd7.pdf")</f>
        <v>chittendenfinancialdisclosure_bb29d4f7-0ce1-4c3c-ac89-2ac7a8d37bd7.pdf</v>
      </c>
      <c r="O60" s="3"/>
      <c r="P60" s="3"/>
      <c r="Q60" s="3"/>
      <c r="R60" s="3"/>
      <c r="S60" s="3"/>
      <c r="T60" s="3"/>
      <c r="U60" s="3"/>
      <c r="V60" s="3"/>
    </row>
    <row r="61" spans="1:22" ht="31.5" x14ac:dyDescent="0.5">
      <c r="A61" s="3" t="s">
        <v>131</v>
      </c>
      <c r="B61" s="3" t="s">
        <v>315</v>
      </c>
      <c r="C61" s="3" t="s">
        <v>931</v>
      </c>
      <c r="D61" s="3" t="s">
        <v>527</v>
      </c>
      <c r="E61" s="3" t="s">
        <v>18</v>
      </c>
      <c r="F61" s="3" t="s">
        <v>932</v>
      </c>
      <c r="G61" s="3" t="s">
        <v>527</v>
      </c>
      <c r="H61" s="3" t="s">
        <v>20</v>
      </c>
      <c r="I61" s="5" t="s">
        <v>640</v>
      </c>
      <c r="J61" s="3" t="s">
        <v>933</v>
      </c>
      <c r="K61" s="3" t="s">
        <v>934</v>
      </c>
      <c r="L61" s="3" t="s">
        <v>935</v>
      </c>
      <c r="M61" s="3" t="s">
        <v>936</v>
      </c>
      <c r="N61" s="16" t="str">
        <f>HYPERLINK("https://electionmgmt.vermont.gov/TFA/DownLoadFinancialDisclosure?FileName=Lyonsfinancialdisclosure_969548b2-eea6-46d8-9274-cd890c786c64.pdf", "Lyonsfinancialdisclosure_969548b2-eea6-46d8-9274-cd890c786c64.pdf")</f>
        <v>Lyonsfinancialdisclosure_969548b2-eea6-46d8-9274-cd890c786c64.pdf</v>
      </c>
      <c r="O61" s="3"/>
      <c r="P61" s="3"/>
      <c r="Q61" s="3"/>
      <c r="R61" s="3"/>
      <c r="S61" s="3"/>
      <c r="T61" s="3"/>
      <c r="U61" s="3"/>
      <c r="V61" s="3"/>
    </row>
    <row r="62" spans="1:22" ht="31.5" x14ac:dyDescent="0.5">
      <c r="A62" s="3" t="s">
        <v>131</v>
      </c>
      <c r="B62" s="3" t="s">
        <v>315</v>
      </c>
      <c r="C62" s="3" t="s">
        <v>1365</v>
      </c>
      <c r="D62" s="3" t="s">
        <v>529</v>
      </c>
      <c r="E62" s="3" t="s">
        <v>18</v>
      </c>
      <c r="F62" s="3" t="s">
        <v>1366</v>
      </c>
      <c r="G62" s="3" t="s">
        <v>529</v>
      </c>
      <c r="H62" s="3" t="s">
        <v>20</v>
      </c>
      <c r="I62" s="5" t="s">
        <v>530</v>
      </c>
      <c r="J62" s="3" t="s">
        <v>1367</v>
      </c>
      <c r="K62" s="3" t="s">
        <v>1367</v>
      </c>
      <c r="L62" s="3" t="s">
        <v>1368</v>
      </c>
      <c r="M62" s="3" t="s">
        <v>1369</v>
      </c>
      <c r="N62" s="16" t="str">
        <f>HYPERLINK("https://electionmgmt.vermont.gov/TFA/DownLoadFinancialDisclosure?FileName=Mayfinancialdisclosure_2023d232-87c0-4b67-b8f6-5f97a7cfb997.pdf", "Mayfinancialdisclosure_2023d232-87c0-4b67-b8f6-5f97a7cfb997.pdf")</f>
        <v>Mayfinancialdisclosure_2023d232-87c0-4b67-b8f6-5f97a7cfb997.pdf</v>
      </c>
      <c r="O62" s="3"/>
      <c r="P62" s="3"/>
      <c r="Q62" s="3"/>
      <c r="R62" s="3"/>
      <c r="S62" s="3"/>
      <c r="T62" s="3"/>
      <c r="U62" s="3"/>
      <c r="V62" s="3"/>
    </row>
    <row r="63" spans="1:22" ht="31.5" x14ac:dyDescent="0.5">
      <c r="A63" s="3" t="s">
        <v>131</v>
      </c>
      <c r="B63" s="3" t="s">
        <v>315</v>
      </c>
      <c r="C63" s="3" t="s">
        <v>937</v>
      </c>
      <c r="D63" s="3" t="s">
        <v>541</v>
      </c>
      <c r="E63" s="3" t="s">
        <v>18</v>
      </c>
      <c r="F63" s="3" t="s">
        <v>938</v>
      </c>
      <c r="G63" s="3" t="s">
        <v>541</v>
      </c>
      <c r="H63" s="3" t="s">
        <v>20</v>
      </c>
      <c r="I63" s="5" t="s">
        <v>543</v>
      </c>
      <c r="J63" s="3" t="s">
        <v>939</v>
      </c>
      <c r="K63" s="3" t="s">
        <v>939</v>
      </c>
      <c r="L63" s="3" t="s">
        <v>940</v>
      </c>
      <c r="M63" s="3" t="s">
        <v>23</v>
      </c>
      <c r="N63" s="16" t="str">
        <f>HYPERLINK("https://electionmgmt.vermont.gov/TFA/DownLoadFinancialDisclosure?FileName=Mudgefinancialdisclosure_a50e8de2-eb60-434a-b51d-93404be01d6a.pdf", "Mudgefinancialdisclosure_a50e8de2-eb60-434a-b51d-93404be01d6a.pdf")</f>
        <v>Mudgefinancialdisclosure_a50e8de2-eb60-434a-b51d-93404be01d6a.pdf</v>
      </c>
      <c r="O63" s="3"/>
      <c r="P63" s="3"/>
      <c r="Q63" s="3"/>
      <c r="R63" s="3"/>
      <c r="S63" s="3"/>
      <c r="T63" s="3"/>
      <c r="U63" s="3"/>
      <c r="V63" s="3"/>
    </row>
    <row r="64" spans="1:22" ht="31.5" x14ac:dyDescent="0.5">
      <c r="A64" s="3" t="s">
        <v>131</v>
      </c>
      <c r="B64" s="3" t="s">
        <v>315</v>
      </c>
      <c r="C64" s="3" t="s">
        <v>1867</v>
      </c>
      <c r="D64" s="3" t="s">
        <v>828</v>
      </c>
      <c r="E64" s="3" t="s">
        <v>18</v>
      </c>
      <c r="F64" s="3" t="s">
        <v>1868</v>
      </c>
      <c r="G64" s="3" t="s">
        <v>46</v>
      </c>
      <c r="H64" s="3" t="s">
        <v>20</v>
      </c>
      <c r="I64" s="5" t="s">
        <v>502</v>
      </c>
      <c r="J64" s="3" t="s">
        <v>1869</v>
      </c>
      <c r="K64" s="3" t="s">
        <v>1869</v>
      </c>
      <c r="L64" s="3" t="s">
        <v>1870</v>
      </c>
      <c r="M64" s="3" t="s">
        <v>1871</v>
      </c>
      <c r="N64" s="16" t="str">
        <f>HYPERLINK("https://electionmgmt.vermont.gov/TFA/DownLoadFinancialDisclosure?FileName=Ramfinancialdisclosure_906a78e5-9484-479a-9a3b-1fac89cf28ea.pdf", "Ramfinancialdisclosure_906a78e5-9484-479a-9a3b-1fac89cf28ea.pdf")</f>
        <v>Ramfinancialdisclosure_906a78e5-9484-479a-9a3b-1fac89cf28ea.pdf</v>
      </c>
      <c r="O64" s="3"/>
      <c r="P64" s="3"/>
      <c r="Q64" s="3"/>
      <c r="R64" s="3"/>
      <c r="S64" s="3"/>
      <c r="T64" s="3"/>
      <c r="U64" s="3"/>
      <c r="V64" s="3"/>
    </row>
    <row r="65" spans="1:22" ht="31.5" x14ac:dyDescent="0.5">
      <c r="A65" s="3" t="s">
        <v>131</v>
      </c>
      <c r="B65" s="3" t="s">
        <v>1933</v>
      </c>
      <c r="C65" s="3" t="s">
        <v>1932</v>
      </c>
      <c r="D65" s="3" t="s">
        <v>1928</v>
      </c>
      <c r="E65" s="3" t="s">
        <v>76</v>
      </c>
      <c r="F65" s="3" t="s">
        <v>1934</v>
      </c>
      <c r="G65" s="3" t="s">
        <v>1928</v>
      </c>
      <c r="H65" s="3" t="s">
        <v>20</v>
      </c>
      <c r="I65" s="5" t="s">
        <v>914</v>
      </c>
      <c r="J65" s="3" t="s">
        <v>1935</v>
      </c>
      <c r="K65" s="3"/>
      <c r="L65" s="3" t="s">
        <v>1936</v>
      </c>
      <c r="M65" s="3"/>
      <c r="N65" s="16" t="str">
        <f>HYPERLINK("https://electionmgmt.vermont.gov/TFA/DownLoadFinancialDisclosure?FileName=Candidates Financial Form_d08fe5e3-512a-4b70-9bd2-571524bc0e4e.pdf", "Candidates Financial Form_d08fe5e3-512a-4b70-9bd2-571524bc0e4e.pdf")</f>
        <v>Candidates Financial Form_d08fe5e3-512a-4b70-9bd2-571524bc0e4e.pdf</v>
      </c>
      <c r="O65" s="3"/>
      <c r="P65" s="3"/>
      <c r="Q65" s="3"/>
      <c r="R65" s="3"/>
      <c r="S65" s="3"/>
      <c r="T65" s="3"/>
      <c r="U65" s="3"/>
      <c r="V65" s="3"/>
    </row>
    <row r="66" spans="1:22" ht="31.5" x14ac:dyDescent="0.5">
      <c r="A66" s="3" t="s">
        <v>131</v>
      </c>
      <c r="B66" s="3" t="s">
        <v>716</v>
      </c>
      <c r="C66" s="3" t="s">
        <v>1689</v>
      </c>
      <c r="D66" s="3" t="s">
        <v>943</v>
      </c>
      <c r="E66" s="3" t="s">
        <v>76</v>
      </c>
      <c r="F66" s="3" t="s">
        <v>1690</v>
      </c>
      <c r="G66" s="3" t="s">
        <v>235</v>
      </c>
      <c r="H66" s="3" t="s">
        <v>20</v>
      </c>
      <c r="I66" s="5" t="s">
        <v>236</v>
      </c>
      <c r="J66" s="3" t="s">
        <v>23</v>
      </c>
      <c r="K66" s="3" t="s">
        <v>23</v>
      </c>
      <c r="L66" s="3" t="s">
        <v>23</v>
      </c>
      <c r="M66" s="3" t="s">
        <v>23</v>
      </c>
      <c r="N66" s="16" t="str">
        <f>HYPERLINK("https://electionmgmt.vermont.gov/TFA/DownLoadFinancialDisclosure?FileName=Brock Randy FD_0acc52f3-3bb4-4d05-a673-45b71048ff54.pdf", "Brock Randy FD_0acc52f3-3bb4-4d05-a673-45b71048ff54.pdf")</f>
        <v>Brock Randy FD_0acc52f3-3bb4-4d05-a673-45b71048ff54.pdf</v>
      </c>
      <c r="O66" s="3"/>
      <c r="P66" s="3"/>
      <c r="Q66" s="3"/>
      <c r="R66" s="3"/>
      <c r="S66" s="3"/>
      <c r="T66" s="3"/>
      <c r="U66" s="3"/>
      <c r="V66" s="3"/>
    </row>
    <row r="67" spans="1:22" ht="31.5" x14ac:dyDescent="0.5">
      <c r="A67" s="3" t="s">
        <v>131</v>
      </c>
      <c r="B67" s="3" t="s">
        <v>716</v>
      </c>
      <c r="C67" s="3" t="s">
        <v>941</v>
      </c>
      <c r="D67" s="3" t="s">
        <v>233</v>
      </c>
      <c r="E67" s="3" t="s">
        <v>18</v>
      </c>
      <c r="F67" s="3" t="s">
        <v>942</v>
      </c>
      <c r="G67" s="3" t="s">
        <v>943</v>
      </c>
      <c r="H67" s="3" t="s">
        <v>20</v>
      </c>
      <c r="I67" s="5" t="s">
        <v>944</v>
      </c>
      <c r="J67" s="3" t="s">
        <v>945</v>
      </c>
      <c r="K67" s="3" t="s">
        <v>23</v>
      </c>
      <c r="L67" s="3" t="s">
        <v>2211</v>
      </c>
      <c r="M67" s="3" t="s">
        <v>2210</v>
      </c>
      <c r="N67" s="16" t="str">
        <f>HYPERLINK("https://electionmgmt.vermont.gov/TFA/DownLoadFinancialDisclosure?FileName=McCarthy Pam FD_a2ce8eb3-d719-46b4-9e6f-97a3fa4378a1.pdf", "McCarthy Pam FD_a2ce8eb3-d719-46b4-9e6f-97a3fa4378a1.pdf")</f>
        <v>McCarthy Pam FD_a2ce8eb3-d719-46b4-9e6f-97a3fa4378a1.pdf</v>
      </c>
      <c r="O67" s="3"/>
      <c r="P67" s="3"/>
      <c r="Q67" s="3"/>
      <c r="R67" s="3"/>
      <c r="S67" s="3"/>
      <c r="T67" s="3"/>
      <c r="U67" s="3"/>
      <c r="V67" s="3"/>
    </row>
    <row r="68" spans="1:22" ht="31.5" x14ac:dyDescent="0.5">
      <c r="A68" s="3" t="s">
        <v>131</v>
      </c>
      <c r="B68" s="3" t="s">
        <v>716</v>
      </c>
      <c r="C68" s="3" t="s">
        <v>717</v>
      </c>
      <c r="D68" s="3" t="s">
        <v>718</v>
      </c>
      <c r="E68" s="3" t="s">
        <v>76</v>
      </c>
      <c r="F68" s="3" t="s">
        <v>719</v>
      </c>
      <c r="G68" s="3" t="s">
        <v>718</v>
      </c>
      <c r="H68" s="3" t="s">
        <v>20</v>
      </c>
      <c r="I68" s="5" t="s">
        <v>720</v>
      </c>
      <c r="J68" s="3" t="s">
        <v>23</v>
      </c>
      <c r="K68" s="3" t="s">
        <v>23</v>
      </c>
      <c r="L68" s="3" t="s">
        <v>23</v>
      </c>
      <c r="M68" s="3"/>
      <c r="N68" s="16" t="str">
        <f>HYPERLINK("https://electionmgmt.vermont.gov/TFA/DownLoadFinancialDisclosure?FileName=Norris Robert FD_892dfe66-084d-4f38-9503-c8e42d87996d.pdf", "Norris Robert FD_892dfe66-084d-4f38-9503-c8e42d87996d.pdf")</f>
        <v>Norris Robert FD_892dfe66-084d-4f38-9503-c8e42d87996d.pdf</v>
      </c>
      <c r="O68" s="3"/>
      <c r="P68" s="3"/>
      <c r="Q68" s="3"/>
      <c r="R68" s="3"/>
      <c r="S68" s="3"/>
      <c r="T68" s="3"/>
      <c r="U68" s="3"/>
      <c r="V68" s="3"/>
    </row>
    <row r="69" spans="1:22" ht="31.5" x14ac:dyDescent="0.5">
      <c r="A69" s="3" t="s">
        <v>131</v>
      </c>
      <c r="B69" s="3" t="s">
        <v>716</v>
      </c>
      <c r="C69" s="3" t="s">
        <v>1370</v>
      </c>
      <c r="D69" s="3" t="s">
        <v>233</v>
      </c>
      <c r="E69" s="3" t="s">
        <v>18</v>
      </c>
      <c r="F69" s="3" t="s">
        <v>1371</v>
      </c>
      <c r="G69" s="3" t="s">
        <v>233</v>
      </c>
      <c r="H69" s="3" t="s">
        <v>20</v>
      </c>
      <c r="I69" s="5" t="s">
        <v>236</v>
      </c>
      <c r="J69" s="3" t="s">
        <v>1372</v>
      </c>
      <c r="K69" s="3" t="s">
        <v>23</v>
      </c>
      <c r="L69" s="3" t="s">
        <v>1373</v>
      </c>
      <c r="M69" s="3" t="s">
        <v>23</v>
      </c>
      <c r="N69" s="16" t="str">
        <f>HYPERLINK("https://electionmgmt.vermont.gov/TFA/DownLoadFinancialDisclosure?FileName=Palczewski Jesse FD_418fa9e6-ea51-46ac-b165-314958b3060b.pdf", "Palczewski Jesse FD_418fa9e6-ea51-46ac-b165-314958b3060b.pdf")</f>
        <v>Palczewski Jesse FD_418fa9e6-ea51-46ac-b165-314958b3060b.pdf</v>
      </c>
      <c r="O69" s="3"/>
      <c r="P69" s="3"/>
      <c r="Q69" s="3"/>
      <c r="R69" s="3"/>
      <c r="S69" s="3"/>
      <c r="T69" s="3"/>
      <c r="U69" s="3"/>
      <c r="V69" s="3"/>
    </row>
    <row r="70" spans="1:22" ht="31.5" x14ac:dyDescent="0.5">
      <c r="A70" s="3" t="s">
        <v>131</v>
      </c>
      <c r="B70" s="3" t="s">
        <v>665</v>
      </c>
      <c r="C70" s="3" t="s">
        <v>1908</v>
      </c>
      <c r="D70" s="3" t="s">
        <v>52</v>
      </c>
      <c r="E70" s="3" t="s">
        <v>76</v>
      </c>
      <c r="F70" s="3" t="s">
        <v>1691</v>
      </c>
      <c r="G70" s="3" t="s">
        <v>52</v>
      </c>
      <c r="H70" s="3" t="s">
        <v>20</v>
      </c>
      <c r="I70" s="5" t="s">
        <v>70</v>
      </c>
      <c r="J70" s="3" t="s">
        <v>1692</v>
      </c>
      <c r="K70" s="3" t="s">
        <v>1692</v>
      </c>
      <c r="L70" s="3" t="s">
        <v>1693</v>
      </c>
      <c r="M70" s="3" t="s">
        <v>23</v>
      </c>
      <c r="N70" s="16" t="str">
        <f>HYPERLINK("https://electionmgmt.vermont.gov/TFA/DownLoadFinancialDisclosure?FileName=Bellowsfinancialdisclosure_4ed30a6f-423c-4544-ab05-35efcc33ee26.pdf", "Bellowsfinancialdisclosure_4ed30a6f-423c-4544-ab05-35efcc33ee26.pdf")</f>
        <v>Bellowsfinancialdisclosure_4ed30a6f-423c-4544-ab05-35efcc33ee26.pdf</v>
      </c>
      <c r="O70" s="3"/>
      <c r="P70" s="3"/>
      <c r="Q70" s="3"/>
      <c r="R70" s="3"/>
      <c r="S70" s="3"/>
      <c r="T70" s="3"/>
      <c r="U70" s="3"/>
      <c r="V70" s="3"/>
    </row>
    <row r="71" spans="1:22" ht="31.5" x14ac:dyDescent="0.5">
      <c r="A71" s="3" t="s">
        <v>131</v>
      </c>
      <c r="B71" s="3" t="s">
        <v>665</v>
      </c>
      <c r="C71" s="3" t="s">
        <v>666</v>
      </c>
      <c r="D71" s="3" t="s">
        <v>667</v>
      </c>
      <c r="E71" s="3" t="s">
        <v>18</v>
      </c>
      <c r="F71" s="3" t="s">
        <v>668</v>
      </c>
      <c r="G71" s="3" t="s">
        <v>667</v>
      </c>
      <c r="H71" s="3" t="s">
        <v>20</v>
      </c>
      <c r="I71" s="5" t="s">
        <v>669</v>
      </c>
      <c r="J71" s="3" t="s">
        <v>670</v>
      </c>
      <c r="K71" s="3" t="s">
        <v>671</v>
      </c>
      <c r="L71" s="3" t="s">
        <v>23</v>
      </c>
      <c r="M71" s="3" t="s">
        <v>23</v>
      </c>
      <c r="N71" s="16" t="str">
        <f>HYPERLINK("https://electionmgmt.vermont.gov/TFA/DownLoadFinancialDisclosure?FileName=Mazzafinancialdisclosure_2f072d0c-049a-41fc-94f8-e47e89b1491d.pdf", "Mazzafinancialdisclosure_2f072d0c-049a-41fc-94f8-e47e89b1491d.pdf")</f>
        <v>Mazzafinancialdisclosure_2f072d0c-049a-41fc-94f8-e47e89b1491d.pdf</v>
      </c>
      <c r="O71" s="3"/>
      <c r="P71" s="3"/>
      <c r="Q71" s="3"/>
      <c r="R71" s="3"/>
      <c r="S71" s="3"/>
      <c r="T71" s="3"/>
      <c r="U71" s="3"/>
      <c r="V71" s="3"/>
    </row>
    <row r="72" spans="1:22" ht="31.5" x14ac:dyDescent="0.5">
      <c r="A72" s="3" t="s">
        <v>131</v>
      </c>
      <c r="B72" s="3" t="s">
        <v>564</v>
      </c>
      <c r="C72" s="3" t="s">
        <v>721</v>
      </c>
      <c r="D72" s="3" t="s">
        <v>565</v>
      </c>
      <c r="E72" s="3" t="s">
        <v>76</v>
      </c>
      <c r="F72" s="3" t="s">
        <v>566</v>
      </c>
      <c r="G72" s="3" t="s">
        <v>565</v>
      </c>
      <c r="H72" s="3" t="s">
        <v>20</v>
      </c>
      <c r="I72" s="5" t="s">
        <v>567</v>
      </c>
      <c r="J72" s="3" t="s">
        <v>568</v>
      </c>
      <c r="K72" s="3" t="s">
        <v>568</v>
      </c>
      <c r="L72" s="3" t="s">
        <v>569</v>
      </c>
      <c r="M72" s="3"/>
      <c r="N72" s="16" t="str">
        <f>HYPERLINK("https://electionmgmt.vermont.gov/TFA/DownLoadFinancialDisclosure?FileName=Westman_Richard_Lam1_State Senate 2022_d14f078d-84bf-4fe3-9916-c0e76eb3af13.pdf", "Westman_Richard_Lam1_State Senate 2022_d14f078d-84bf-4fe3-9916-c0e76eb3af13.pdf")</f>
        <v>Westman_Richard_Lam1_State Senate 2022_d14f078d-84bf-4fe3-9916-c0e76eb3af13.pdf</v>
      </c>
      <c r="O72" s="3"/>
      <c r="P72" s="3"/>
      <c r="Q72" s="3"/>
      <c r="R72" s="3"/>
      <c r="S72" s="3"/>
      <c r="T72" s="3"/>
      <c r="U72" s="3"/>
      <c r="V72" s="3"/>
    </row>
    <row r="73" spans="1:22" ht="31.5" x14ac:dyDescent="0.5">
      <c r="A73" s="3" t="s">
        <v>131</v>
      </c>
      <c r="B73" s="3" t="s">
        <v>841</v>
      </c>
      <c r="C73" s="3" t="s">
        <v>1163</v>
      </c>
      <c r="D73" s="3" t="s">
        <v>1164</v>
      </c>
      <c r="E73" s="3" t="s">
        <v>76</v>
      </c>
      <c r="F73" s="3" t="s">
        <v>1165</v>
      </c>
      <c r="G73" s="3" t="s">
        <v>1164</v>
      </c>
      <c r="H73" s="3" t="s">
        <v>20</v>
      </c>
      <c r="I73" s="5" t="s">
        <v>1166</v>
      </c>
      <c r="J73" s="3" t="s">
        <v>1167</v>
      </c>
      <c r="K73" s="3" t="s">
        <v>1167</v>
      </c>
      <c r="L73" s="3" t="s">
        <v>1168</v>
      </c>
      <c r="M73" s="3" t="s">
        <v>1169</v>
      </c>
      <c r="N73" s="16" t="str">
        <f>HYPERLINK("https://electionmgmt.vermont.gov/TFA/DownLoadFinancialDisclosure?FileName=KLAR_394e62f9-38ce-471c-92b7-63549b6b2566.pdf", "KLAR_394e62f9-38ce-471c-92b7-63549b6b2566.pdf")</f>
        <v>KLAR_394e62f9-38ce-471c-92b7-63549b6b2566.pdf</v>
      </c>
      <c r="O73" s="3"/>
      <c r="P73" s="3"/>
      <c r="Q73" s="3"/>
      <c r="R73" s="3"/>
      <c r="S73" s="3"/>
      <c r="T73" s="3"/>
      <c r="U73" s="3"/>
      <c r="V73" s="3"/>
    </row>
    <row r="74" spans="1:22" ht="31.5" x14ac:dyDescent="0.5">
      <c r="A74" s="3" t="s">
        <v>131</v>
      </c>
      <c r="B74" s="3" t="s">
        <v>841</v>
      </c>
      <c r="C74" s="3" t="s">
        <v>1374</v>
      </c>
      <c r="D74" s="3" t="s">
        <v>1375</v>
      </c>
      <c r="E74" s="3" t="s">
        <v>18</v>
      </c>
      <c r="F74" s="3" t="s">
        <v>1376</v>
      </c>
      <c r="G74" s="3" t="s">
        <v>1375</v>
      </c>
      <c r="H74" s="3" t="s">
        <v>20</v>
      </c>
      <c r="I74" s="5" t="s">
        <v>1377</v>
      </c>
      <c r="J74" s="3" t="s">
        <v>1378</v>
      </c>
      <c r="K74" s="3" t="s">
        <v>1378</v>
      </c>
      <c r="L74" s="3" t="s">
        <v>1379</v>
      </c>
      <c r="M74" s="3" t="s">
        <v>23</v>
      </c>
      <c r="N74" s="16" t="str">
        <f>HYPERLINK("https://electionmgmt.vermont.gov/TFA/DownLoadFinancialDisclosure?FileName=MACDONALD_f578ecbf-3f5a-4cf5-b4ae-9c837cc69065.pdf", "MACDONALD_f578ecbf-3f5a-4cf5-b4ae-9c837cc69065.pdf")</f>
        <v>MACDONALD_f578ecbf-3f5a-4cf5-b4ae-9c837cc69065.pdf</v>
      </c>
      <c r="O74" s="3"/>
      <c r="P74" s="3"/>
      <c r="Q74" s="3"/>
      <c r="R74" s="3"/>
      <c r="S74" s="3"/>
      <c r="T74" s="3"/>
      <c r="U74" s="3"/>
      <c r="V74" s="3"/>
    </row>
    <row r="75" spans="1:22" ht="31.5" x14ac:dyDescent="0.5">
      <c r="A75" s="3" t="s">
        <v>131</v>
      </c>
      <c r="B75" s="3" t="s">
        <v>344</v>
      </c>
      <c r="C75" s="3" t="s">
        <v>1887</v>
      </c>
      <c r="D75" s="3" t="s">
        <v>346</v>
      </c>
      <c r="E75" s="3" t="s">
        <v>76</v>
      </c>
      <c r="F75" s="3" t="s">
        <v>1694</v>
      </c>
      <c r="G75" s="3" t="s">
        <v>348</v>
      </c>
      <c r="H75" s="3" t="s">
        <v>20</v>
      </c>
      <c r="I75" s="5" t="s">
        <v>349</v>
      </c>
      <c r="J75" s="3" t="s">
        <v>1695</v>
      </c>
      <c r="K75" s="3" t="s">
        <v>1695</v>
      </c>
      <c r="L75" s="3" t="s">
        <v>1696</v>
      </c>
      <c r="M75" s="3" t="s">
        <v>23</v>
      </c>
      <c r="N75" s="16" t="str">
        <f>HYPERLINK("https://electionmgmt.vermont.gov/TFA/DownLoadFinancialDisclosure?FileName=Douglass_Samuel_Senate_2022 Aug Pirmary_64b2b9be-efd5-4944-8fd8-17363d52c1cf.pdf", "Douglass_Samuel_Senate_2022 Aug Pirmary_64b2b9be-efd5-4944-8fd8-17363d52c1cf.pdf")</f>
        <v>Douglass_Samuel_Senate_2022 Aug Pirmary_64b2b9be-efd5-4944-8fd8-17363d52c1cf.pdf</v>
      </c>
      <c r="O75" s="3"/>
      <c r="P75" s="3"/>
      <c r="Q75" s="3"/>
      <c r="R75" s="3"/>
      <c r="S75" s="3"/>
      <c r="T75" s="3"/>
      <c r="U75" s="3"/>
      <c r="V75" s="3"/>
    </row>
    <row r="76" spans="1:22" ht="31.5" x14ac:dyDescent="0.5">
      <c r="A76" s="3" t="s">
        <v>131</v>
      </c>
      <c r="B76" s="3" t="s">
        <v>344</v>
      </c>
      <c r="C76" s="3" t="s">
        <v>345</v>
      </c>
      <c r="D76" s="3" t="s">
        <v>346</v>
      </c>
      <c r="E76" s="3" t="s">
        <v>18</v>
      </c>
      <c r="F76" s="3" t="s">
        <v>347</v>
      </c>
      <c r="G76" s="3" t="s">
        <v>348</v>
      </c>
      <c r="H76" s="3" t="s">
        <v>20</v>
      </c>
      <c r="I76" s="5" t="s">
        <v>349</v>
      </c>
      <c r="J76" s="3" t="s">
        <v>350</v>
      </c>
      <c r="K76" s="3" t="s">
        <v>350</v>
      </c>
      <c r="L76" s="3" t="s">
        <v>351</v>
      </c>
      <c r="M76" s="3" t="s">
        <v>23</v>
      </c>
      <c r="N76" s="16" t="str">
        <f>HYPERLINK("https://electionmgmt.vermont.gov/TFA/DownLoadFinancialDisclosure?FileName=Starr_Robert_Senate_2022AugPrimary_26ecf058-523f-4987-96d3-5d01a722c9a8.pdf", "Starr_Robert_Senate_2022AugPrimary_26ecf058-523f-4987-96d3-5d01a722c9a8.pdf")</f>
        <v>Starr_Robert_Senate_2022AugPrimary_26ecf058-523f-4987-96d3-5d01a722c9a8.pdf</v>
      </c>
      <c r="O76" s="3"/>
      <c r="P76" s="3"/>
      <c r="Q76" s="3"/>
      <c r="R76" s="3"/>
      <c r="S76" s="3"/>
      <c r="T76" s="3"/>
      <c r="U76" s="3"/>
      <c r="V76" s="3"/>
    </row>
    <row r="77" spans="1:22" ht="31.5" x14ac:dyDescent="0.5">
      <c r="A77" s="3" t="s">
        <v>131</v>
      </c>
      <c r="B77" s="3" t="s">
        <v>946</v>
      </c>
      <c r="C77" s="3" t="s">
        <v>1170</v>
      </c>
      <c r="D77" s="3" t="s">
        <v>1171</v>
      </c>
      <c r="E77" s="3" t="s">
        <v>76</v>
      </c>
      <c r="F77" s="3" t="s">
        <v>1172</v>
      </c>
      <c r="G77" s="3" t="s">
        <v>1171</v>
      </c>
      <c r="H77" s="3" t="s">
        <v>20</v>
      </c>
      <c r="I77" s="5" t="s">
        <v>203</v>
      </c>
      <c r="J77" s="3" t="s">
        <v>1173</v>
      </c>
      <c r="K77" s="3" t="s">
        <v>1173</v>
      </c>
      <c r="L77" s="3" t="s">
        <v>1174</v>
      </c>
      <c r="M77" s="3"/>
      <c r="N77" s="16" t="str">
        <f>HYPERLINK("https://electionmgmt.vermont.gov/TFA/DownLoadFinancialDisclosure?FileName=Collomore Brian RutSen FD_5c089808-e84d-4faa-a5d4-cb9fbe299ec3.pdf", "Collomore Brian RutSen FD_5c089808-e84d-4faa-a5d4-cb9fbe299ec3.pdf")</f>
        <v>Collomore Brian RutSen FD_5c089808-e84d-4faa-a5d4-cb9fbe299ec3.pdf</v>
      </c>
      <c r="O77" s="3"/>
      <c r="P77" s="3"/>
      <c r="Q77" s="3"/>
      <c r="R77" s="3"/>
      <c r="S77" s="3"/>
      <c r="T77" s="3"/>
      <c r="U77" s="3"/>
      <c r="V77" s="3"/>
    </row>
    <row r="78" spans="1:22" ht="31.5" x14ac:dyDescent="0.5">
      <c r="A78" s="3" t="s">
        <v>131</v>
      </c>
      <c r="B78" s="3" t="s">
        <v>946</v>
      </c>
      <c r="C78" s="3" t="s">
        <v>1380</v>
      </c>
      <c r="D78" s="3" t="s">
        <v>1171</v>
      </c>
      <c r="E78" s="3" t="s">
        <v>18</v>
      </c>
      <c r="F78" s="3" t="s">
        <v>1381</v>
      </c>
      <c r="G78" s="3" t="s">
        <v>223</v>
      </c>
      <c r="H78" s="3" t="s">
        <v>20</v>
      </c>
      <c r="I78" s="5" t="s">
        <v>203</v>
      </c>
      <c r="J78" s="3" t="s">
        <v>2216</v>
      </c>
      <c r="K78" s="3" t="s">
        <v>2216</v>
      </c>
      <c r="L78" s="3" t="s">
        <v>1382</v>
      </c>
      <c r="M78" s="3" t="s">
        <v>23</v>
      </c>
      <c r="N78" s="16" t="str">
        <f>HYPERLINK("https://electionmgmt.vermont.gov/TFA/DownLoadFinancialDisclosure?FileName=Remington Bridgette RutSen FD_ba42d11a-70f0-4413-a7d3-80105906ed5f.pdf", "Remington Bridgette RutSen FD_ba42d11a-70f0-4413-a7d3-80105906ed5f.pdf")</f>
        <v>Remington Bridgette RutSen FD_ba42d11a-70f0-4413-a7d3-80105906ed5f.pdf</v>
      </c>
      <c r="O78" s="3"/>
      <c r="P78" s="3"/>
      <c r="Q78" s="3"/>
      <c r="R78" s="3"/>
      <c r="S78" s="3"/>
      <c r="T78" s="3"/>
      <c r="U78" s="3"/>
      <c r="V78" s="3"/>
    </row>
    <row r="79" spans="1:22" ht="31.5" x14ac:dyDescent="0.5">
      <c r="A79" s="3" t="s">
        <v>131</v>
      </c>
      <c r="B79" s="3" t="s">
        <v>946</v>
      </c>
      <c r="C79" s="3" t="s">
        <v>947</v>
      </c>
      <c r="D79" s="3" t="s">
        <v>201</v>
      </c>
      <c r="E79" s="3" t="s">
        <v>18</v>
      </c>
      <c r="F79" s="3" t="s">
        <v>1283</v>
      </c>
      <c r="G79" s="3" t="s">
        <v>201</v>
      </c>
      <c r="H79" s="3" t="s">
        <v>20</v>
      </c>
      <c r="I79" s="5" t="s">
        <v>867</v>
      </c>
      <c r="J79" s="3" t="s">
        <v>948</v>
      </c>
      <c r="K79" s="3" t="s">
        <v>948</v>
      </c>
      <c r="L79" s="3" t="s">
        <v>949</v>
      </c>
      <c r="M79" s="3" t="s">
        <v>23</v>
      </c>
      <c r="N79" s="16" t="str">
        <f>HYPERLINK("https://electionmgmt.vermont.gov/TFA/DownLoadFinancialDisclosure?FileName=Tadio Anna RutSen FD_28927706-4b56-465d-9364-d308cc07b343.pdf", "Tadio Anna RutSen FD_28927706-4b56-465d-9364-d308cc07b343.pdf")</f>
        <v>Tadio Anna RutSen FD_28927706-4b56-465d-9364-d308cc07b343.pdf</v>
      </c>
      <c r="O79" s="3"/>
      <c r="P79" s="3"/>
      <c r="Q79" s="3"/>
      <c r="R79" s="3"/>
      <c r="S79" s="3"/>
      <c r="T79" s="3"/>
      <c r="U79" s="3"/>
      <c r="V79" s="3"/>
    </row>
    <row r="80" spans="1:22" ht="31.5" x14ac:dyDescent="0.5">
      <c r="A80" s="3" t="s">
        <v>131</v>
      </c>
      <c r="B80" s="3" t="s">
        <v>946</v>
      </c>
      <c r="C80" s="3" t="s">
        <v>1175</v>
      </c>
      <c r="D80" s="3" t="s">
        <v>1176</v>
      </c>
      <c r="E80" s="3" t="s">
        <v>76</v>
      </c>
      <c r="F80" s="3" t="s">
        <v>1177</v>
      </c>
      <c r="G80" s="3" t="s">
        <v>1176</v>
      </c>
      <c r="H80" s="3" t="s">
        <v>20</v>
      </c>
      <c r="I80" s="5" t="s">
        <v>1178</v>
      </c>
      <c r="J80" s="3" t="s">
        <v>23</v>
      </c>
      <c r="K80" s="3" t="s">
        <v>1179</v>
      </c>
      <c r="L80" s="3" t="s">
        <v>23</v>
      </c>
      <c r="M80" s="3" t="s">
        <v>1180</v>
      </c>
      <c r="N80" s="16" t="str">
        <f>HYPERLINK("https://electionmgmt.vermont.gov/TFA/DownLoadFinancialDisclosure?FileName=Weeks David RutSen FD_d857c051-c38a-4b2f-8917-6a406f6e82c9.pdf", "Weeks David RutSen FD_d857c051-c38a-4b2f-8917-6a406f6e82c9.pdf")</f>
        <v>Weeks David RutSen FD_d857c051-c38a-4b2f-8917-6a406f6e82c9.pdf</v>
      </c>
      <c r="O80" s="3"/>
      <c r="P80" s="3"/>
      <c r="Q80" s="3"/>
      <c r="R80" s="3"/>
      <c r="S80" s="3"/>
      <c r="T80" s="3"/>
      <c r="U80" s="3"/>
      <c r="V80" s="3"/>
    </row>
    <row r="81" spans="1:22" ht="31.5" x14ac:dyDescent="0.5">
      <c r="A81" s="3" t="s">
        <v>131</v>
      </c>
      <c r="B81" s="3" t="s">
        <v>946</v>
      </c>
      <c r="C81" s="3" t="s">
        <v>1181</v>
      </c>
      <c r="D81" s="3" t="s">
        <v>1182</v>
      </c>
      <c r="E81" s="3" t="s">
        <v>76</v>
      </c>
      <c r="F81" s="3" t="s">
        <v>1183</v>
      </c>
      <c r="G81" s="3" t="s">
        <v>1182</v>
      </c>
      <c r="H81" s="3" t="s">
        <v>20</v>
      </c>
      <c r="I81" s="5" t="s">
        <v>1184</v>
      </c>
      <c r="J81" s="3" t="s">
        <v>1185</v>
      </c>
      <c r="K81" s="3" t="s">
        <v>1185</v>
      </c>
      <c r="L81" s="3" t="s">
        <v>23</v>
      </c>
      <c r="M81" s="3" t="s">
        <v>23</v>
      </c>
      <c r="N81" s="16" t="str">
        <f>HYPERLINK("https://electionmgmt.vermont.gov/TFA/DownLoadFinancialDisclosure?FileName=Williams Terry RutSen FD_ac1ca249-333f-4bf6-a0ec-215ed32aedfe.pdf", "Williams Terry RutSen FD_ac1ca249-333f-4bf6-a0ec-215ed32aedfe.pdf")</f>
        <v>Williams Terry RutSen FD_ac1ca249-333f-4bf6-a0ec-215ed32aedfe.pdf</v>
      </c>
      <c r="O81" s="3"/>
      <c r="P81" s="3"/>
      <c r="Q81" s="3"/>
      <c r="R81" s="3"/>
      <c r="S81" s="3"/>
      <c r="T81" s="3"/>
      <c r="U81" s="3"/>
      <c r="V81" s="3"/>
    </row>
    <row r="82" spans="1:22" ht="31.5" x14ac:dyDescent="0.5">
      <c r="A82" s="3" t="s">
        <v>131</v>
      </c>
      <c r="B82" s="3" t="s">
        <v>339</v>
      </c>
      <c r="C82" s="3" t="s">
        <v>1697</v>
      </c>
      <c r="D82" s="3" t="s">
        <v>341</v>
      </c>
      <c r="E82" s="3" t="s">
        <v>76</v>
      </c>
      <c r="F82" s="3" t="s">
        <v>1698</v>
      </c>
      <c r="G82" s="3" t="s">
        <v>341</v>
      </c>
      <c r="H82" s="3" t="s">
        <v>20</v>
      </c>
      <c r="I82" s="5" t="s">
        <v>343</v>
      </c>
      <c r="J82" s="3" t="s">
        <v>2217</v>
      </c>
      <c r="K82" s="3" t="s">
        <v>2217</v>
      </c>
      <c r="L82" s="3" t="s">
        <v>1699</v>
      </c>
      <c r="M82" s="3"/>
      <c r="N82" s="16" t="str">
        <f>HYPERLINK("https://electionmgmt.vermont.gov/TFA/DownLoadFinancialDisclosure?FileName=Bean Paul FD_4ac50dae-4e10-4746-89b8-0a709476d6aa.pdf", "Bean Paul FD_4ac50dae-4e10-4746-89b8-0a709476d6aa.pdf")</f>
        <v>Bean Paul FD_4ac50dae-4e10-4746-89b8-0a709476d6aa.pdf</v>
      </c>
      <c r="O82" s="3"/>
      <c r="P82" s="3"/>
      <c r="Q82" s="3"/>
      <c r="R82" s="3"/>
      <c r="S82" s="3"/>
      <c r="T82" s="3"/>
      <c r="U82" s="3"/>
      <c r="V82" s="3"/>
    </row>
    <row r="83" spans="1:22" ht="31.5" x14ac:dyDescent="0.5">
      <c r="A83" s="3" t="s">
        <v>131</v>
      </c>
      <c r="B83" s="3" t="s">
        <v>339</v>
      </c>
      <c r="C83" s="3" t="s">
        <v>770</v>
      </c>
      <c r="D83" s="3" t="s">
        <v>90</v>
      </c>
      <c r="E83" s="3" t="s">
        <v>18</v>
      </c>
      <c r="F83" s="3" t="s">
        <v>771</v>
      </c>
      <c r="G83" s="3" t="s">
        <v>90</v>
      </c>
      <c r="H83" s="3" t="s">
        <v>20</v>
      </c>
      <c r="I83" s="5" t="s">
        <v>419</v>
      </c>
      <c r="J83" s="3" t="s">
        <v>772</v>
      </c>
      <c r="K83" s="3" t="s">
        <v>772</v>
      </c>
      <c r="L83" s="3" t="s">
        <v>773</v>
      </c>
      <c r="M83" s="3" t="s">
        <v>774</v>
      </c>
      <c r="N83" s="16" t="str">
        <f>HYPERLINK("https://electionmgmt.vermont.gov/TFA/DownLoadFinancialDisclosure?FileName=Cummings Ann FD_476ffae9-2514-476d-bb97-4b9723ce2132.pdf", "Cummings Ann FD_476ffae9-2514-476d-bb97-4b9723ce2132.pdf")</f>
        <v>Cummings Ann FD_476ffae9-2514-476d-bb97-4b9723ce2132.pdf</v>
      </c>
      <c r="O83" s="3"/>
      <c r="P83" s="3"/>
      <c r="Q83" s="3"/>
      <c r="R83" s="3"/>
      <c r="S83" s="3"/>
      <c r="T83" s="3"/>
      <c r="U83" s="3"/>
      <c r="V83" s="3"/>
    </row>
    <row r="84" spans="1:22" ht="31.5" x14ac:dyDescent="0.5">
      <c r="A84" s="3" t="s">
        <v>131</v>
      </c>
      <c r="B84" s="3" t="s">
        <v>339</v>
      </c>
      <c r="C84" s="3" t="s">
        <v>775</v>
      </c>
      <c r="D84" s="3" t="s">
        <v>90</v>
      </c>
      <c r="E84" s="3" t="s">
        <v>18</v>
      </c>
      <c r="F84" s="3" t="s">
        <v>776</v>
      </c>
      <c r="G84" s="3" t="s">
        <v>90</v>
      </c>
      <c r="H84" s="3" t="s">
        <v>20</v>
      </c>
      <c r="I84" s="5" t="s">
        <v>419</v>
      </c>
      <c r="J84" s="3" t="s">
        <v>777</v>
      </c>
      <c r="K84" s="3" t="s">
        <v>777</v>
      </c>
      <c r="L84" s="3" t="s">
        <v>778</v>
      </c>
      <c r="M84" s="3" t="s">
        <v>779</v>
      </c>
      <c r="N84" s="16" t="s">
        <v>1383</v>
      </c>
      <c r="O84" s="3"/>
      <c r="P84" s="3"/>
      <c r="Q84" s="3"/>
      <c r="R84" s="3"/>
      <c r="S84" s="3"/>
      <c r="T84" s="3"/>
      <c r="U84" s="3"/>
      <c r="V84" s="3"/>
    </row>
    <row r="85" spans="1:22" ht="31.5" x14ac:dyDescent="0.5">
      <c r="A85" s="3" t="s">
        <v>131</v>
      </c>
      <c r="B85" s="3" t="s">
        <v>339</v>
      </c>
      <c r="C85" s="3" t="s">
        <v>1384</v>
      </c>
      <c r="D85" s="3" t="s">
        <v>88</v>
      </c>
      <c r="E85" s="3" t="s">
        <v>18</v>
      </c>
      <c r="F85" s="3" t="s">
        <v>1385</v>
      </c>
      <c r="G85" s="3" t="s">
        <v>88</v>
      </c>
      <c r="H85" s="3" t="s">
        <v>20</v>
      </c>
      <c r="I85" s="5" t="s">
        <v>419</v>
      </c>
      <c r="J85" s="3" t="s">
        <v>1386</v>
      </c>
      <c r="K85" s="3" t="s">
        <v>1386</v>
      </c>
      <c r="L85" s="3" t="s">
        <v>1387</v>
      </c>
      <c r="M85" s="3" t="s">
        <v>1388</v>
      </c>
      <c r="N85" s="16" t="str">
        <f>HYPERLINK("https://electionmgmt.vermont.gov/TFA/DownLoadFinancialDisclosure?FileName=Hansen Jeremy FD_cf99e7f3-3b97-4ea8-8997-53110b90a6e8.pdf", "Hansen Jeremy FD_cf99e7f3-3b97-4ea8-8997-53110b90a6e8.pdf")</f>
        <v>Hansen Jeremy FD_cf99e7f3-3b97-4ea8-8997-53110b90a6e8.pdf</v>
      </c>
      <c r="O85" s="3"/>
      <c r="P85" s="3"/>
      <c r="Q85" s="3"/>
      <c r="R85" s="3"/>
      <c r="S85" s="3"/>
      <c r="T85" s="3"/>
      <c r="U85" s="3"/>
      <c r="V85" s="3"/>
    </row>
    <row r="86" spans="1:22" ht="31.5" x14ac:dyDescent="0.5">
      <c r="A86" s="3" t="s">
        <v>131</v>
      </c>
      <c r="B86" s="3" t="s">
        <v>339</v>
      </c>
      <c r="C86" s="3" t="s">
        <v>780</v>
      </c>
      <c r="D86" s="3" t="s">
        <v>781</v>
      </c>
      <c r="E86" s="3" t="s">
        <v>18</v>
      </c>
      <c r="F86" s="3" t="s">
        <v>782</v>
      </c>
      <c r="G86" s="3" t="s">
        <v>781</v>
      </c>
      <c r="H86" s="3" t="s">
        <v>20</v>
      </c>
      <c r="I86" s="5" t="s">
        <v>783</v>
      </c>
      <c r="J86" s="3" t="s">
        <v>784</v>
      </c>
      <c r="K86" s="3" t="s">
        <v>784</v>
      </c>
      <c r="L86" s="3" t="s">
        <v>785</v>
      </c>
      <c r="M86" s="3" t="s">
        <v>786</v>
      </c>
      <c r="N86" s="16" t="str">
        <f>HYPERLINK("https://electionmgmt.vermont.gov/TFA/DownLoadFinancialDisclosure?FileName=Perchlik Andrew FD_81612460-3cc3-41b6-9306-7f70099861b9.pdf", "Perchlik Andrew FD_81612460-3cc3-41b6-9306-7f70099861b9.pdf")</f>
        <v>Perchlik Andrew FD_81612460-3cc3-41b6-9306-7f70099861b9.pdf</v>
      </c>
      <c r="O86" s="3"/>
      <c r="P86" s="3"/>
      <c r="Q86" s="3"/>
      <c r="R86" s="3"/>
      <c r="S86" s="3"/>
      <c r="T86" s="3"/>
      <c r="U86" s="3"/>
      <c r="V86" s="3"/>
    </row>
    <row r="87" spans="1:22" ht="31.5" x14ac:dyDescent="0.5">
      <c r="A87" s="3" t="s">
        <v>131</v>
      </c>
      <c r="B87" s="3" t="s">
        <v>339</v>
      </c>
      <c r="C87" s="3" t="s">
        <v>1700</v>
      </c>
      <c r="D87" s="3" t="s">
        <v>117</v>
      </c>
      <c r="E87" s="3" t="s">
        <v>76</v>
      </c>
      <c r="F87" s="3" t="s">
        <v>1701</v>
      </c>
      <c r="G87" s="3" t="s">
        <v>117</v>
      </c>
      <c r="H87" s="3" t="s">
        <v>20</v>
      </c>
      <c r="I87" s="5" t="s">
        <v>119</v>
      </c>
      <c r="J87" s="3" t="s">
        <v>1702</v>
      </c>
      <c r="K87" s="3" t="s">
        <v>1702</v>
      </c>
      <c r="L87" s="3" t="s">
        <v>1703</v>
      </c>
      <c r="M87" s="3"/>
      <c r="N87" s="16" t="str">
        <f>HYPERLINK("https://electionmgmt.vermont.gov/TFA/DownLoadFinancialDisclosure?FileName=Tucker Dwayne FD_b611f2fe-3edd-44b0-ad70-6fe5ccf3c66b.pdf", "Tucker Dwayne FD_b611f2fe-3edd-44b0-ad70-6fe5ccf3c66b.pdf")</f>
        <v>Tucker Dwayne FD_b611f2fe-3edd-44b0-ad70-6fe5ccf3c66b.pdf</v>
      </c>
      <c r="O87" s="3"/>
      <c r="P87" s="3"/>
      <c r="Q87" s="3"/>
      <c r="R87" s="3"/>
      <c r="S87" s="3"/>
      <c r="T87" s="3"/>
      <c r="U87" s="3"/>
      <c r="V87" s="3"/>
    </row>
    <row r="88" spans="1:22" ht="31.5" x14ac:dyDescent="0.5">
      <c r="A88" s="3" t="s">
        <v>131</v>
      </c>
      <c r="B88" s="3" t="s">
        <v>339</v>
      </c>
      <c r="C88" s="3" t="s">
        <v>1389</v>
      </c>
      <c r="D88" s="3" t="s">
        <v>90</v>
      </c>
      <c r="E88" s="3" t="s">
        <v>18</v>
      </c>
      <c r="F88" s="3" t="s">
        <v>1390</v>
      </c>
      <c r="G88" s="3" t="s">
        <v>90</v>
      </c>
      <c r="H88" s="3" t="s">
        <v>20</v>
      </c>
      <c r="I88" s="5" t="s">
        <v>419</v>
      </c>
      <c r="J88" s="3" t="s">
        <v>1391</v>
      </c>
      <c r="K88" s="3" t="s">
        <v>1391</v>
      </c>
      <c r="L88" s="3" t="s">
        <v>1392</v>
      </c>
      <c r="M88" s="3" t="s">
        <v>1393</v>
      </c>
      <c r="N88" s="16" t="str">
        <f>HYPERLINK("https://electionmgmt.vermont.gov/TFA/DownLoadFinancialDisclosure?FileName=Watson Anne FD_61011233-8361-441d-b90d-a4b3f2a8ad9e.pdf", "Watson Anne FD_61011233-8361-441d-b90d-a4b3f2a8ad9e.pdf")</f>
        <v>Watson Anne FD_61011233-8361-441d-b90d-a4b3f2a8ad9e.pdf</v>
      </c>
      <c r="O88" s="3"/>
      <c r="P88" s="3"/>
      <c r="Q88" s="3"/>
      <c r="R88" s="3"/>
      <c r="S88" s="3"/>
      <c r="T88" s="3"/>
      <c r="U88" s="3"/>
      <c r="V88" s="3"/>
    </row>
    <row r="89" spans="1:22" ht="31.5" x14ac:dyDescent="0.5">
      <c r="A89" s="3" t="s">
        <v>131</v>
      </c>
      <c r="B89" s="3" t="s">
        <v>132</v>
      </c>
      <c r="C89" s="3" t="s">
        <v>459</v>
      </c>
      <c r="D89" s="3" t="s">
        <v>460</v>
      </c>
      <c r="E89" s="3" t="s">
        <v>18</v>
      </c>
      <c r="F89" s="3" t="s">
        <v>461</v>
      </c>
      <c r="G89" s="3" t="s">
        <v>460</v>
      </c>
      <c r="H89" s="3" t="s">
        <v>20</v>
      </c>
      <c r="I89" s="5" t="s">
        <v>152</v>
      </c>
      <c r="J89" s="3" t="s">
        <v>462</v>
      </c>
      <c r="K89" s="3" t="s">
        <v>23</v>
      </c>
      <c r="L89" s="3" t="s">
        <v>463</v>
      </c>
      <c r="M89" s="3" t="s">
        <v>464</v>
      </c>
      <c r="N89" s="16" t="str">
        <f>HYPERLINK("https://electionmgmt.vermont.gov/TFA/DownLoadFinancialDisclosure?FileName=CCF_000007_4af8d376-9ca2-403d-bc7d-1d1d8d56a4fb.pdf", "CCF_000007_4af8d376-9ca2-403d-bc7d-1d1d8d56a4fb.pdf")</f>
        <v>CCF_000007_4af8d376-9ca2-403d-bc7d-1d1d8d56a4fb.pdf</v>
      </c>
      <c r="O89" s="3"/>
      <c r="P89" s="3"/>
      <c r="Q89" s="3"/>
      <c r="R89" s="3"/>
      <c r="S89" s="3"/>
      <c r="T89" s="3"/>
      <c r="U89" s="3"/>
      <c r="V89" s="3"/>
    </row>
    <row r="90" spans="1:22" ht="31.5" x14ac:dyDescent="0.5">
      <c r="A90" s="3" t="s">
        <v>131</v>
      </c>
      <c r="B90" s="3" t="s">
        <v>132</v>
      </c>
      <c r="C90" s="3" t="s">
        <v>453</v>
      </c>
      <c r="D90" s="3" t="s">
        <v>28</v>
      </c>
      <c r="E90" s="3" t="s">
        <v>76</v>
      </c>
      <c r="F90" s="3" t="s">
        <v>454</v>
      </c>
      <c r="G90" s="3" t="s">
        <v>28</v>
      </c>
      <c r="H90" s="3" t="s">
        <v>20</v>
      </c>
      <c r="I90" s="5" t="s">
        <v>30</v>
      </c>
      <c r="J90" s="3" t="s">
        <v>455</v>
      </c>
      <c r="K90" s="3" t="s">
        <v>23</v>
      </c>
      <c r="L90" s="3" t="s">
        <v>456</v>
      </c>
      <c r="M90" s="3"/>
      <c r="N90" s="16" t="str">
        <f>HYPERLINK("https://electionmgmt.vermont.gov/TFA/DownLoadFinancialDisclosure?FileName=Coester_f83ae569-363b-4a29-8e1b-c09457fea93e.pdf", "Coester_f83ae569-363b-4a29-8e1b-c09457fea93e.pdf")</f>
        <v>Coester_f83ae569-363b-4a29-8e1b-c09457fea93e.pdf</v>
      </c>
      <c r="O90" s="3"/>
      <c r="P90" s="3"/>
      <c r="Q90" s="3"/>
      <c r="R90" s="3"/>
      <c r="S90" s="3"/>
      <c r="T90" s="3"/>
      <c r="U90" s="3"/>
      <c r="V90" s="3"/>
    </row>
    <row r="91" spans="1:22" ht="31.5" x14ac:dyDescent="0.5">
      <c r="A91" s="3" t="s">
        <v>131</v>
      </c>
      <c r="B91" s="3" t="s">
        <v>132</v>
      </c>
      <c r="C91" s="3" t="s">
        <v>1394</v>
      </c>
      <c r="D91" s="3" t="s">
        <v>134</v>
      </c>
      <c r="E91" s="3" t="s">
        <v>18</v>
      </c>
      <c r="F91" s="3" t="s">
        <v>1395</v>
      </c>
      <c r="G91" s="3" t="s">
        <v>134</v>
      </c>
      <c r="H91" s="3" t="s">
        <v>20</v>
      </c>
      <c r="I91" s="5" t="s">
        <v>136</v>
      </c>
      <c r="J91" s="3" t="s">
        <v>1396</v>
      </c>
      <c r="K91" s="3" t="s">
        <v>23</v>
      </c>
      <c r="L91" s="3" t="s">
        <v>1397</v>
      </c>
      <c r="M91" s="3" t="s">
        <v>1398</v>
      </c>
      <c r="N91" s="16" t="str">
        <f>HYPERLINK("https://electionmgmt.vermont.gov/TFA/DownLoadFinancialDisclosure?FileName=CCF_000010_3bc92e66-f492-4f1f-8b0c-fc7368f93607.pdf", "CCF_000010_3bc92e66-f492-4f1f-8b0c-fc7368f93607.pdf")</f>
        <v>CCF_000010_3bc92e66-f492-4f1f-8b0c-fc7368f93607.pdf</v>
      </c>
      <c r="O91" s="3"/>
      <c r="P91" s="3"/>
      <c r="Q91" s="3"/>
      <c r="R91" s="3"/>
      <c r="S91" s="3"/>
      <c r="T91" s="3"/>
      <c r="U91" s="3"/>
      <c r="V91" s="3"/>
    </row>
    <row r="92" spans="1:22" ht="31.5" x14ac:dyDescent="0.5">
      <c r="A92" s="3" t="s">
        <v>131</v>
      </c>
      <c r="B92" s="3" t="s">
        <v>132</v>
      </c>
      <c r="C92" s="3" t="s">
        <v>1399</v>
      </c>
      <c r="D92" s="3" t="s">
        <v>1400</v>
      </c>
      <c r="E92" s="3" t="s">
        <v>18</v>
      </c>
      <c r="F92" s="3" t="s">
        <v>1401</v>
      </c>
      <c r="G92" s="3" t="s">
        <v>1400</v>
      </c>
      <c r="H92" s="3" t="s">
        <v>20</v>
      </c>
      <c r="I92" s="5" t="s">
        <v>874</v>
      </c>
      <c r="J92" s="3" t="s">
        <v>1402</v>
      </c>
      <c r="K92" s="3" t="s">
        <v>23</v>
      </c>
      <c r="L92" s="3" t="s">
        <v>1403</v>
      </c>
      <c r="M92" s="3" t="s">
        <v>1404</v>
      </c>
      <c r="N92" s="16" t="str">
        <f>HYPERLINK("https://electionmgmt.vermont.gov/TFA/DownLoadFinancialDisclosure?FileName=CCF_000009_3d8d7865-3488-4d0e-90ca-4ce17f9bc10f.pdf", "CCF_000009_3d8d7865-3488-4d0e-90ca-4ce17f9bc10f.pdf")</f>
        <v>CCF_000009_3d8d7865-3488-4d0e-90ca-4ce17f9bc10f.pdf</v>
      </c>
      <c r="O92" s="3"/>
      <c r="P92" s="3"/>
      <c r="Q92" s="3"/>
      <c r="R92" s="3"/>
      <c r="S92" s="3"/>
      <c r="T92" s="3"/>
      <c r="U92" s="3"/>
      <c r="V92" s="3"/>
    </row>
    <row r="93" spans="1:22" ht="31.5" x14ac:dyDescent="0.5">
      <c r="A93" s="3" t="s">
        <v>131</v>
      </c>
      <c r="B93" s="3" t="s">
        <v>132</v>
      </c>
      <c r="C93" s="3" t="s">
        <v>133</v>
      </c>
      <c r="D93" s="3" t="s">
        <v>134</v>
      </c>
      <c r="E93" s="3" t="s">
        <v>76</v>
      </c>
      <c r="F93" s="3" t="s">
        <v>135</v>
      </c>
      <c r="G93" s="3" t="s">
        <v>134</v>
      </c>
      <c r="H93" s="3" t="s">
        <v>20</v>
      </c>
      <c r="I93" s="5" t="s">
        <v>136</v>
      </c>
      <c r="J93" s="3" t="s">
        <v>137</v>
      </c>
      <c r="K93" s="3" t="s">
        <v>23</v>
      </c>
      <c r="L93" s="3" t="s">
        <v>138</v>
      </c>
      <c r="M93" s="3"/>
      <c r="N93" s="16" t="s">
        <v>457</v>
      </c>
      <c r="O93" s="3"/>
      <c r="P93" s="3"/>
      <c r="Q93" s="3"/>
      <c r="R93" s="3"/>
      <c r="S93" s="3"/>
      <c r="T93" s="3"/>
      <c r="U93" s="3"/>
      <c r="V93" s="3"/>
    </row>
    <row r="94" spans="1:22" ht="31.5" x14ac:dyDescent="0.5">
      <c r="A94" s="3" t="s">
        <v>131</v>
      </c>
      <c r="B94" s="3" t="s">
        <v>132</v>
      </c>
      <c r="C94" s="3" t="s">
        <v>139</v>
      </c>
      <c r="D94" s="3" t="s">
        <v>134</v>
      </c>
      <c r="E94" s="3" t="s">
        <v>76</v>
      </c>
      <c r="F94" s="3" t="s">
        <v>140</v>
      </c>
      <c r="G94" s="3" t="s">
        <v>134</v>
      </c>
      <c r="H94" s="3" t="s">
        <v>20</v>
      </c>
      <c r="I94" s="5" t="s">
        <v>136</v>
      </c>
      <c r="J94" s="3" t="s">
        <v>141</v>
      </c>
      <c r="K94" s="3" t="s">
        <v>23</v>
      </c>
      <c r="L94" s="3" t="s">
        <v>142</v>
      </c>
      <c r="M94" s="3"/>
      <c r="N94" s="16" t="s">
        <v>458</v>
      </c>
      <c r="O94" s="3"/>
      <c r="P94" s="3"/>
      <c r="Q94" s="3"/>
      <c r="R94" s="3"/>
      <c r="S94" s="3"/>
      <c r="T94" s="3"/>
      <c r="U94" s="3"/>
      <c r="V94" s="3"/>
    </row>
    <row r="95" spans="1:22" ht="31.5" x14ac:dyDescent="0.5">
      <c r="A95" s="3" t="s">
        <v>131</v>
      </c>
      <c r="B95" s="3" t="s">
        <v>1097</v>
      </c>
      <c r="C95" s="3" t="s">
        <v>1991</v>
      </c>
      <c r="D95" s="3" t="s">
        <v>253</v>
      </c>
      <c r="E95" s="3" t="s">
        <v>18</v>
      </c>
      <c r="F95" s="3" t="s">
        <v>1992</v>
      </c>
      <c r="G95" s="3" t="s">
        <v>253</v>
      </c>
      <c r="H95" s="3" t="s">
        <v>20</v>
      </c>
      <c r="I95" s="5" t="s">
        <v>255</v>
      </c>
      <c r="J95" s="3" t="s">
        <v>23</v>
      </c>
      <c r="K95" s="3" t="s">
        <v>1993</v>
      </c>
      <c r="L95" s="3" t="s">
        <v>1994</v>
      </c>
      <c r="M95" s="3" t="s">
        <v>1995</v>
      </c>
      <c r="N95" s="16" t="str">
        <f>HYPERLINK("https://electionmgmt.vermont.gov/TFA/DownLoadFinancialDisclosure?FileName=Clarkson Alison FD_5857a2d5-a328-4738-a0d7-853bdbaf6ff9.pdf", "Clarkson Alison FD_5857a2d5-a328-4738-a0d7-853bdbaf6ff9.pdf")</f>
        <v>Clarkson Alison FD_5857a2d5-a328-4738-a0d7-853bdbaf6ff9.pdf</v>
      </c>
      <c r="O95" s="3"/>
      <c r="P95" s="3"/>
      <c r="Q95" s="3"/>
      <c r="R95" s="3"/>
      <c r="S95" s="3"/>
      <c r="T95" s="3"/>
      <c r="U95" s="3"/>
      <c r="V95" s="3"/>
    </row>
    <row r="96" spans="1:22" ht="31.5" x14ac:dyDescent="0.5">
      <c r="A96" s="3" t="s">
        <v>131</v>
      </c>
      <c r="B96" s="3" t="s">
        <v>1097</v>
      </c>
      <c r="C96" s="3" t="s">
        <v>2031</v>
      </c>
      <c r="D96" s="3" t="s">
        <v>693</v>
      </c>
      <c r="E96" s="3" t="s">
        <v>76</v>
      </c>
      <c r="F96" s="3" t="s">
        <v>2032</v>
      </c>
      <c r="G96" s="3" t="s">
        <v>693</v>
      </c>
      <c r="H96" s="3" t="s">
        <v>20</v>
      </c>
      <c r="I96" s="5" t="s">
        <v>695</v>
      </c>
      <c r="J96" s="3" t="s">
        <v>2033</v>
      </c>
      <c r="K96" s="3" t="s">
        <v>2033</v>
      </c>
      <c r="L96" s="3" t="s">
        <v>2034</v>
      </c>
      <c r="M96" s="3" t="s">
        <v>23</v>
      </c>
      <c r="N96" s="16" t="str">
        <f>HYPERLINK("https://electionmgmt.vermont.gov/TFA/DownLoadFinancialDisclosure?FileName=Colson Dana FD_41e4b29e-3cce-4eb7-9a87-fa9e84b3efbb.pdf", "Colson Dana FD_41e4b29e-3cce-4eb7-9a87-fa9e84b3efbb.pdf")</f>
        <v>Colson Dana FD_41e4b29e-3cce-4eb7-9a87-fa9e84b3efbb.pdf</v>
      </c>
      <c r="O96" s="3"/>
      <c r="P96" s="3"/>
      <c r="Q96" s="3"/>
      <c r="R96" s="3"/>
      <c r="S96" s="3"/>
      <c r="T96" s="3"/>
      <c r="U96" s="3"/>
      <c r="V96" s="3"/>
    </row>
    <row r="97" spans="1:22" ht="31.5" x14ac:dyDescent="0.5">
      <c r="A97" s="3" t="s">
        <v>131</v>
      </c>
      <c r="B97" s="3" t="s">
        <v>1097</v>
      </c>
      <c r="C97" s="3" t="s">
        <v>2035</v>
      </c>
      <c r="D97" s="3" t="s">
        <v>1111</v>
      </c>
      <c r="E97" s="3" t="s">
        <v>76</v>
      </c>
      <c r="F97" s="3" t="s">
        <v>2036</v>
      </c>
      <c r="G97" s="3" t="s">
        <v>1111</v>
      </c>
      <c r="H97" s="3" t="s">
        <v>20</v>
      </c>
      <c r="I97" s="5" t="s">
        <v>2037</v>
      </c>
      <c r="J97" s="3" t="s">
        <v>2038</v>
      </c>
      <c r="K97" s="3" t="s">
        <v>2038</v>
      </c>
      <c r="L97" s="3" t="s">
        <v>2039</v>
      </c>
      <c r="M97" s="3" t="s">
        <v>23</v>
      </c>
      <c r="N97" s="16" t="str">
        <f>HYPERLINK("https://electionmgmt.vermont.gov/TFA/DownLoadFinancialDisclosure?FileName=Flanders Alice FD_2cdc7139-d9ed-41c4-82d6-daf8b1497a5b.pdf", "Flanders Alice FD_2cdc7139-d9ed-41c4-82d6-daf8b1497a5b.pdf")</f>
        <v>Flanders Alice FD_2cdc7139-d9ed-41c4-82d6-daf8b1497a5b.pdf</v>
      </c>
      <c r="O97" s="3"/>
      <c r="P97" s="3"/>
      <c r="Q97" s="3"/>
      <c r="R97" s="3"/>
      <c r="S97" s="3"/>
      <c r="T97" s="3"/>
      <c r="U97" s="3"/>
      <c r="V97" s="3"/>
    </row>
    <row r="98" spans="1:22" ht="31.5" x14ac:dyDescent="0.5">
      <c r="A98" s="3" t="s">
        <v>131</v>
      </c>
      <c r="B98" s="3" t="s">
        <v>1097</v>
      </c>
      <c r="C98" s="3" t="s">
        <v>1996</v>
      </c>
      <c r="D98" s="3" t="s">
        <v>886</v>
      </c>
      <c r="E98" s="3" t="s">
        <v>18</v>
      </c>
      <c r="F98" s="3" t="s">
        <v>1997</v>
      </c>
      <c r="G98" s="3" t="s">
        <v>886</v>
      </c>
      <c r="H98" s="3" t="s">
        <v>20</v>
      </c>
      <c r="I98" s="5" t="s">
        <v>888</v>
      </c>
      <c r="J98" s="3" t="s">
        <v>1998</v>
      </c>
      <c r="K98" s="3" t="s">
        <v>1998</v>
      </c>
      <c r="L98" s="3" t="s">
        <v>1999</v>
      </c>
      <c r="M98" s="3" t="s">
        <v>23</v>
      </c>
      <c r="N98" s="16" t="s">
        <v>2209</v>
      </c>
      <c r="O98" s="3"/>
      <c r="P98" s="3"/>
      <c r="Q98" s="3"/>
      <c r="R98" s="3"/>
      <c r="S98" s="3"/>
      <c r="T98" s="3"/>
      <c r="U98" s="3"/>
      <c r="V98" s="3"/>
    </row>
    <row r="99" spans="1:22" ht="31.5" x14ac:dyDescent="0.5">
      <c r="A99" s="3" t="s">
        <v>131</v>
      </c>
      <c r="B99" s="3" t="s">
        <v>1097</v>
      </c>
      <c r="C99" s="3" t="s">
        <v>2000</v>
      </c>
      <c r="D99" s="3" t="s">
        <v>2001</v>
      </c>
      <c r="E99" s="3" t="s">
        <v>18</v>
      </c>
      <c r="F99" s="3" t="s">
        <v>2002</v>
      </c>
      <c r="G99" s="3" t="s">
        <v>2001</v>
      </c>
      <c r="H99" s="3" t="s">
        <v>20</v>
      </c>
      <c r="I99" s="5" t="s">
        <v>2003</v>
      </c>
      <c r="J99" s="3" t="s">
        <v>2004</v>
      </c>
      <c r="K99" s="3" t="s">
        <v>2004</v>
      </c>
      <c r="L99" s="3" t="s">
        <v>2005</v>
      </c>
      <c r="M99" s="3" t="s">
        <v>2006</v>
      </c>
      <c r="N99" s="16" t="str">
        <f>HYPERLINK("https://electionmgmt.vermont.gov/TFA/DownLoadFinancialDisclosure?FileName=Morrow Chris FD_c980eb9f-45e5-498b-ae05-5904f83d5f24.pdf", "Morrow Chris FD_c980eb9f-45e5-498b-ae05-5904f83d5f24.pdf")</f>
        <v>Morrow Chris FD_c980eb9f-45e5-498b-ae05-5904f83d5f24.pdf</v>
      </c>
      <c r="O99" s="3"/>
      <c r="P99" s="3"/>
      <c r="Q99" s="3"/>
      <c r="R99" s="3"/>
      <c r="S99" s="3"/>
      <c r="T99" s="3"/>
      <c r="U99" s="3"/>
      <c r="V99" s="3"/>
    </row>
    <row r="100" spans="1:22" ht="31.5" x14ac:dyDescent="0.5">
      <c r="A100" s="3" t="s">
        <v>131</v>
      </c>
      <c r="B100" s="3" t="s">
        <v>1097</v>
      </c>
      <c r="C100" s="3" t="s">
        <v>2007</v>
      </c>
      <c r="D100" s="3" t="s">
        <v>1111</v>
      </c>
      <c r="E100" s="3" t="s">
        <v>18</v>
      </c>
      <c r="F100" s="3" t="s">
        <v>2008</v>
      </c>
      <c r="G100" s="3" t="s">
        <v>1111</v>
      </c>
      <c r="H100" s="3" t="s">
        <v>20</v>
      </c>
      <c r="I100" s="5" t="s">
        <v>1114</v>
      </c>
      <c r="J100" s="3" t="s">
        <v>2009</v>
      </c>
      <c r="K100" s="3" t="s">
        <v>2009</v>
      </c>
      <c r="L100" s="3" t="s">
        <v>2010</v>
      </c>
      <c r="M100" s="3" t="s">
        <v>2011</v>
      </c>
      <c r="N100" s="16" t="str">
        <f>HYPERLINK("https://electionmgmt.vermont.gov/TFA/DownLoadFinancialDisclosure?FileName=White Rebecca FD_0df3f529-03bc-45dc-ad4b-507a0b89e7f4.pdf", "White Rebecca FD_0df3f529-03bc-45dc-ad4b-507a0b89e7f4.pdf")</f>
        <v>White Rebecca FD_0df3f529-03bc-45dc-ad4b-507a0b89e7f4.pdf</v>
      </c>
      <c r="O100" s="3"/>
      <c r="P100" s="3"/>
      <c r="Q100" s="3"/>
      <c r="R100" s="3"/>
      <c r="S100" s="3"/>
      <c r="T100" s="3"/>
      <c r="U100" s="3"/>
      <c r="V100" s="3"/>
    </row>
    <row r="101" spans="1:22" ht="31.5" x14ac:dyDescent="0.5">
      <c r="A101" s="3" t="s">
        <v>14</v>
      </c>
      <c r="B101" s="3" t="s">
        <v>787</v>
      </c>
      <c r="C101" s="3" t="s">
        <v>788</v>
      </c>
      <c r="D101" s="3" t="s">
        <v>553</v>
      </c>
      <c r="E101" s="3" t="s">
        <v>18</v>
      </c>
      <c r="F101" s="3" t="s">
        <v>789</v>
      </c>
      <c r="G101" s="3" t="s">
        <v>553</v>
      </c>
      <c r="H101" s="3" t="s">
        <v>20</v>
      </c>
      <c r="I101" s="5" t="s">
        <v>411</v>
      </c>
      <c r="J101" s="3" t="s">
        <v>790</v>
      </c>
      <c r="K101" s="3" t="s">
        <v>23</v>
      </c>
      <c r="L101" s="3" t="s">
        <v>791</v>
      </c>
      <c r="M101" s="3" t="s">
        <v>792</v>
      </c>
      <c r="N101" s="16" t="str">
        <f>HYPERLINK("https://electionmgmt.vermont.gov/TFA/DownLoadFinancialDisclosure?FileName=Scheu PR Consent &amp; Disclosures 5-25-2022_07e12e4c-324c-40b4-b9d1-f8bfe0bc566e.pdf", "Scheu PR Consent &amp; Disclosures 5-25-2022_07e12e4c-324c-40b4-b9d1-f8bfe0bc566e.pdf")</f>
        <v>Scheu PR Consent &amp; Disclosures 5-25-2022_07e12e4c-324c-40b4-b9d1-f8bfe0bc566e.pdf</v>
      </c>
      <c r="O101" s="3"/>
      <c r="P101" s="3"/>
      <c r="Q101" s="3"/>
      <c r="R101" s="3"/>
      <c r="S101" s="3"/>
      <c r="T101" s="3"/>
      <c r="U101" s="3"/>
      <c r="V101" s="3"/>
    </row>
    <row r="102" spans="1:22" ht="31.5" x14ac:dyDescent="0.5">
      <c r="A102" s="3" t="s">
        <v>14</v>
      </c>
      <c r="B102" s="3" t="s">
        <v>787</v>
      </c>
      <c r="C102" s="3" t="s">
        <v>793</v>
      </c>
      <c r="D102" s="3" t="s">
        <v>553</v>
      </c>
      <c r="E102" s="3" t="s">
        <v>18</v>
      </c>
      <c r="F102" s="3" t="s">
        <v>794</v>
      </c>
      <c r="G102" s="3" t="s">
        <v>795</v>
      </c>
      <c r="H102" s="3" t="s">
        <v>20</v>
      </c>
      <c r="I102" s="5" t="s">
        <v>796</v>
      </c>
      <c r="J102" s="3" t="s">
        <v>797</v>
      </c>
      <c r="K102" s="3" t="s">
        <v>23</v>
      </c>
      <c r="L102" s="3" t="s">
        <v>798</v>
      </c>
      <c r="M102" s="3" t="s">
        <v>23</v>
      </c>
      <c r="N102" s="16" t="str">
        <f>HYPERLINK("https://electionmgmt.vermont.gov/TFA/DownLoadFinancialDisclosure?FileName=Sheldon PR Consent &amp; Disclosures 5-25-2022_b289ec40-bf80-4564-a7df-080aa02db7f1.pdf", "Sheldon PR Consent &amp; Disclosures 5-25-2022_b289ec40-bf80-4564-a7df-080aa02db7f1.pdf")</f>
        <v>Sheldon PR Consent &amp; Disclosures 5-25-2022_b289ec40-bf80-4564-a7df-080aa02db7f1.pdf</v>
      </c>
      <c r="O102" s="3"/>
      <c r="P102" s="3"/>
      <c r="Q102" s="3"/>
      <c r="R102" s="3"/>
      <c r="S102" s="3"/>
      <c r="T102" s="3"/>
      <c r="U102" s="3"/>
      <c r="V102" s="3"/>
    </row>
    <row r="103" spans="1:22" ht="31.5" x14ac:dyDescent="0.5">
      <c r="A103" s="3" t="s">
        <v>14</v>
      </c>
      <c r="B103" s="3" t="s">
        <v>1405</v>
      </c>
      <c r="C103" s="3" t="s">
        <v>1406</v>
      </c>
      <c r="D103" s="3" t="s">
        <v>409</v>
      </c>
      <c r="E103" s="3" t="s">
        <v>18</v>
      </c>
      <c r="F103" s="3" t="s">
        <v>1407</v>
      </c>
      <c r="G103" s="3" t="s">
        <v>409</v>
      </c>
      <c r="H103" s="3" t="s">
        <v>20</v>
      </c>
      <c r="I103" s="5" t="s">
        <v>411</v>
      </c>
      <c r="J103" s="3" t="s">
        <v>1408</v>
      </c>
      <c r="K103" s="3" t="s">
        <v>1408</v>
      </c>
      <c r="L103" s="3" t="s">
        <v>1409</v>
      </c>
      <c r="M103" s="3" t="s">
        <v>1410</v>
      </c>
      <c r="N103" s="16" t="str">
        <f>HYPERLINK("https://electionmgmt.vermont.gov/TFA/DownLoadFinancialDisclosure?FileName=Conlon.Financial Disclosure Form.05.24.22_6f055a1b-2ffa-444d-b91f-968142ffcafc.pdf", "Conlon.Financial Disclosure Form.05.24.22_6f055a1b-2ffa-444d-b91f-968142ffcafc.pdf")</f>
        <v>Conlon.Financial Disclosure Form.05.24.22_6f055a1b-2ffa-444d-b91f-968142ffcafc.pdf</v>
      </c>
      <c r="O103" s="3"/>
      <c r="P103" s="3"/>
      <c r="Q103" s="3"/>
      <c r="R103" s="3"/>
      <c r="S103" s="3"/>
      <c r="T103" s="3"/>
      <c r="U103" s="3"/>
      <c r="V103" s="3"/>
    </row>
    <row r="104" spans="1:22" ht="31.5" x14ac:dyDescent="0.5">
      <c r="A104" s="3" t="s">
        <v>14</v>
      </c>
      <c r="B104" s="3" t="s">
        <v>1405</v>
      </c>
      <c r="C104" s="3" t="s">
        <v>1983</v>
      </c>
      <c r="D104" s="3" t="s">
        <v>1984</v>
      </c>
      <c r="E104" s="3" t="s">
        <v>18</v>
      </c>
      <c r="F104" s="3" t="s">
        <v>1985</v>
      </c>
      <c r="G104" s="3" t="s">
        <v>1984</v>
      </c>
      <c r="H104" s="3" t="s">
        <v>20</v>
      </c>
      <c r="I104" s="5" t="s">
        <v>1986</v>
      </c>
      <c r="J104" s="3" t="s">
        <v>1987</v>
      </c>
      <c r="K104" s="3"/>
      <c r="L104" s="3" t="s">
        <v>1988</v>
      </c>
      <c r="M104" s="3" t="s">
        <v>1989</v>
      </c>
      <c r="N104" s="16" t="str">
        <f>HYPERLINK("https://electionmgmt.vermont.gov/TFA/DownLoadFinancialDisclosure?FileName=Harlin.Financial Disclosure Form.05.26.22_29c3dea5-00ce-4b50-aa52-97c5abb9646f.pdf", "Harlin.Financial Disclosure Form.05.26.22_29c3dea5-00ce-4b50-aa52-97c5abb9646f.pdf")</f>
        <v>Harlin.Financial Disclosure Form.05.26.22_29c3dea5-00ce-4b50-aa52-97c5abb9646f.pdf</v>
      </c>
      <c r="O104" s="3"/>
      <c r="P104" s="3"/>
      <c r="Q104" s="3"/>
      <c r="R104" s="3"/>
      <c r="S104" s="3"/>
      <c r="T104" s="3"/>
      <c r="U104" s="3"/>
      <c r="V104" s="3"/>
    </row>
    <row r="105" spans="1:22" ht="31.5" x14ac:dyDescent="0.5">
      <c r="A105" s="3" t="s">
        <v>14</v>
      </c>
      <c r="B105" s="3" t="s">
        <v>534</v>
      </c>
      <c r="C105" s="3" t="s">
        <v>799</v>
      </c>
      <c r="D105" s="3" t="s">
        <v>536</v>
      </c>
      <c r="E105" s="3" t="s">
        <v>18</v>
      </c>
      <c r="F105" s="3" t="s">
        <v>800</v>
      </c>
      <c r="G105" s="3" t="s">
        <v>536</v>
      </c>
      <c r="H105" s="3" t="s">
        <v>20</v>
      </c>
      <c r="I105" s="5" t="s">
        <v>538</v>
      </c>
      <c r="J105" s="3" t="s">
        <v>801</v>
      </c>
      <c r="K105" s="3" t="s">
        <v>801</v>
      </c>
      <c r="L105" s="3" t="s">
        <v>802</v>
      </c>
      <c r="M105" s="3" t="s">
        <v>803</v>
      </c>
      <c r="N105" s="16" t="str">
        <f>HYPERLINK("https://electionmgmt.vermont.gov/TFA/DownLoadFinancialDisclosure?FileName=DOC052422-003_e27e034f-4e7f-4905-8b4d-73db97bc79b8.pdf", "DOC052422-003_e27e034f-4e7f-4905-8b4d-73db97bc79b8.pdf")</f>
        <v>DOC052422-003_e27e034f-4e7f-4905-8b4d-73db97bc79b8.pdf</v>
      </c>
      <c r="O105" s="3"/>
      <c r="P105" s="3"/>
      <c r="Q105" s="3"/>
      <c r="R105" s="3"/>
      <c r="S105" s="3"/>
      <c r="T105" s="3"/>
      <c r="U105" s="3"/>
      <c r="V105" s="3"/>
    </row>
    <row r="106" spans="1:22" ht="31.5" x14ac:dyDescent="0.5">
      <c r="A106" s="3" t="s">
        <v>14</v>
      </c>
      <c r="B106" s="3" t="s">
        <v>534</v>
      </c>
      <c r="C106" s="3" t="s">
        <v>535</v>
      </c>
      <c r="D106" s="3" t="s">
        <v>536</v>
      </c>
      <c r="E106" s="3" t="s">
        <v>18</v>
      </c>
      <c r="F106" s="3" t="s">
        <v>537</v>
      </c>
      <c r="G106" s="3" t="s">
        <v>536</v>
      </c>
      <c r="H106" s="3" t="s">
        <v>20</v>
      </c>
      <c r="I106" s="5" t="s">
        <v>538</v>
      </c>
      <c r="J106" s="3" t="s">
        <v>23</v>
      </c>
      <c r="K106" s="3" t="s">
        <v>23</v>
      </c>
      <c r="L106" s="3" t="s">
        <v>23</v>
      </c>
      <c r="M106" s="3" t="s">
        <v>23</v>
      </c>
      <c r="N106" s="16" t="str">
        <f>HYPERLINK("https://electionmgmt.vermont.gov/TFA/DownLoadFinancialDisclosure?FileName=DOC051922_9c5814a3-4ce4-489d-8ac5-0849f0bbfeee.pdf", "DOC051922_9c5814a3-4ce4-489d-8ac5-0849f0bbfeee.pdf")</f>
        <v>DOC051922_9c5814a3-4ce4-489d-8ac5-0849f0bbfeee.pdf</v>
      </c>
      <c r="O106" s="3"/>
      <c r="P106" s="3"/>
      <c r="Q106" s="3"/>
      <c r="R106" s="3"/>
      <c r="S106" s="3"/>
      <c r="T106" s="3"/>
      <c r="U106" s="3"/>
      <c r="V106" s="3"/>
    </row>
    <row r="107" spans="1:22" ht="31.5" x14ac:dyDescent="0.5">
      <c r="A107" s="3" t="s">
        <v>14</v>
      </c>
      <c r="B107" s="3" t="s">
        <v>534</v>
      </c>
      <c r="C107" s="3" t="s">
        <v>1888</v>
      </c>
      <c r="D107" s="3" t="s">
        <v>1704</v>
      </c>
      <c r="E107" s="3" t="s">
        <v>76</v>
      </c>
      <c r="F107" s="3" t="s">
        <v>1705</v>
      </c>
      <c r="G107" s="3" t="s">
        <v>1704</v>
      </c>
      <c r="H107" s="3" t="s">
        <v>20</v>
      </c>
      <c r="I107" s="5" t="s">
        <v>1706</v>
      </c>
      <c r="J107" s="3" t="s">
        <v>1707</v>
      </c>
      <c r="K107" s="3" t="s">
        <v>1708</v>
      </c>
      <c r="L107" s="3" t="s">
        <v>1709</v>
      </c>
      <c r="M107" s="3"/>
      <c r="N107" s="16" t="str">
        <f>HYPERLINK("https://electionmgmt.vermont.gov/TFA/DownLoadFinancialDisclosure?FileName=DOC052622-001_230d9848-d817-443d-bf37-c854d44ee46f.pdf", "DOC052622-001_230d9848-d817-443d-bf37-c854d44ee46f.pdf")</f>
        <v>DOC052622-001_230d9848-d817-443d-bf37-c854d44ee46f.pdf</v>
      </c>
      <c r="O107" s="3"/>
      <c r="P107" s="3"/>
      <c r="Q107" s="3"/>
      <c r="R107" s="3"/>
      <c r="S107" s="3"/>
      <c r="T107" s="3"/>
      <c r="U107" s="3"/>
      <c r="V107" s="3"/>
    </row>
    <row r="108" spans="1:22" ht="31.5" x14ac:dyDescent="0.5">
      <c r="A108" s="3" t="s">
        <v>14</v>
      </c>
      <c r="B108" s="3" t="s">
        <v>534</v>
      </c>
      <c r="C108" s="3" t="s">
        <v>1186</v>
      </c>
      <c r="D108" s="3" t="s">
        <v>1187</v>
      </c>
      <c r="E108" s="3" t="s">
        <v>76</v>
      </c>
      <c r="F108" s="3" t="s">
        <v>1188</v>
      </c>
      <c r="G108" s="3" t="s">
        <v>1187</v>
      </c>
      <c r="H108" s="3" t="s">
        <v>20</v>
      </c>
      <c r="I108" s="5" t="s">
        <v>1189</v>
      </c>
      <c r="J108" s="3" t="s">
        <v>1190</v>
      </c>
      <c r="K108" s="3" t="s">
        <v>1190</v>
      </c>
      <c r="L108" s="3" t="s">
        <v>1191</v>
      </c>
      <c r="M108" s="3" t="s">
        <v>1192</v>
      </c>
      <c r="N108" s="16" t="str">
        <f>HYPERLINK("https://electionmgmt.vermont.gov/TFA/DownLoadFinancialDisclosure?FileName=DOC052422-002_077e9a4d-a49a-4e5d-92f8-a34828f3ad96.pdf", "DOC052422-002_077e9a4d-a49a-4e5d-92f8-a34828f3ad96.pdf")</f>
        <v>DOC052422-002_077e9a4d-a49a-4e5d-92f8-a34828f3ad96.pdf</v>
      </c>
      <c r="O108" s="3"/>
      <c r="P108" s="3"/>
      <c r="Q108" s="3"/>
      <c r="R108" s="3"/>
      <c r="S108" s="3"/>
      <c r="T108" s="3"/>
      <c r="U108" s="3"/>
      <c r="V108" s="3"/>
    </row>
    <row r="109" spans="1:22" ht="31.5" x14ac:dyDescent="0.5">
      <c r="A109" s="3" t="s">
        <v>14</v>
      </c>
      <c r="B109" s="3" t="s">
        <v>368</v>
      </c>
      <c r="C109" s="3" t="s">
        <v>369</v>
      </c>
      <c r="D109" s="3" t="s">
        <v>370</v>
      </c>
      <c r="E109" s="3" t="s">
        <v>18</v>
      </c>
      <c r="F109" s="3" t="s">
        <v>371</v>
      </c>
      <c r="G109" s="3" t="s">
        <v>370</v>
      </c>
      <c r="H109" s="3" t="s">
        <v>20</v>
      </c>
      <c r="I109" s="5" t="s">
        <v>372</v>
      </c>
      <c r="J109" s="3" t="s">
        <v>373</v>
      </c>
      <c r="K109" s="3" t="s">
        <v>23</v>
      </c>
      <c r="L109" s="3" t="s">
        <v>374</v>
      </c>
      <c r="M109" s="3" t="s">
        <v>375</v>
      </c>
      <c r="N109" s="16" t="s">
        <v>465</v>
      </c>
      <c r="O109" s="3"/>
      <c r="P109" s="3"/>
      <c r="Q109" s="3"/>
      <c r="R109" s="3"/>
      <c r="S109" s="3"/>
      <c r="T109" s="3"/>
      <c r="U109" s="3"/>
      <c r="V109" s="3"/>
    </row>
    <row r="110" spans="1:22" ht="31.5" x14ac:dyDescent="0.5">
      <c r="A110" s="3" t="s">
        <v>14</v>
      </c>
      <c r="B110" s="3" t="s">
        <v>368</v>
      </c>
      <c r="C110" s="3" t="s">
        <v>445</v>
      </c>
      <c r="D110" s="3" t="s">
        <v>446</v>
      </c>
      <c r="E110" s="3" t="s">
        <v>76</v>
      </c>
      <c r="F110" s="3" t="s">
        <v>447</v>
      </c>
      <c r="G110" s="3" t="s">
        <v>446</v>
      </c>
      <c r="H110" s="3" t="s">
        <v>20</v>
      </c>
      <c r="I110" s="5" t="s">
        <v>372</v>
      </c>
      <c r="J110" s="3" t="s">
        <v>448</v>
      </c>
      <c r="K110" s="3" t="s">
        <v>449</v>
      </c>
      <c r="L110" s="3" t="s">
        <v>450</v>
      </c>
      <c r="M110" s="3" t="s">
        <v>451</v>
      </c>
      <c r="N110" s="16" t="str">
        <f>HYPERLINK("https://electionmgmt.vermont.gov/TFA/DownLoadFinancialDisclosure?FileName=Dike Lynn Financial Disclosure 05 12 2022_345956b7-bc10-4467-8f61-fe02693197ce.pdf", "Dike Lynn Financial Disclosure 05 12 2022_345956b7-bc10-4467-8f61-fe02693197ce.pdf")</f>
        <v>Dike Lynn Financial Disclosure 05 12 2022_345956b7-bc10-4467-8f61-fe02693197ce.pdf</v>
      </c>
      <c r="O110" s="3"/>
      <c r="P110" s="3"/>
      <c r="Q110" s="3"/>
      <c r="R110" s="3"/>
      <c r="S110" s="3"/>
      <c r="T110" s="3"/>
      <c r="U110" s="3"/>
      <c r="V110" s="3"/>
    </row>
    <row r="111" spans="1:22" ht="31.5" x14ac:dyDescent="0.5">
      <c r="A111" s="3" t="s">
        <v>14</v>
      </c>
      <c r="B111" s="3" t="s">
        <v>368</v>
      </c>
      <c r="C111" s="3" t="s">
        <v>804</v>
      </c>
      <c r="D111" s="3" t="s">
        <v>805</v>
      </c>
      <c r="E111" s="3" t="s">
        <v>18</v>
      </c>
      <c r="F111" s="3" t="s">
        <v>806</v>
      </c>
      <c r="G111" s="3" t="s">
        <v>805</v>
      </c>
      <c r="H111" s="3" t="s">
        <v>20</v>
      </c>
      <c r="I111" s="5" t="s">
        <v>807</v>
      </c>
      <c r="J111" s="3" t="s">
        <v>808</v>
      </c>
      <c r="K111" s="3" t="s">
        <v>808</v>
      </c>
      <c r="L111" s="3" t="s">
        <v>809</v>
      </c>
      <c r="M111" s="3" t="s">
        <v>810</v>
      </c>
      <c r="N111" s="16" t="str">
        <f>HYPERLINK("https://electionmgmt.vermont.gov/TFA/DownLoadFinancialDisclosure?FileName=Elder Caleb Financial Disclosure 05 24 2022_a4d1d3ad-a766-4a8a-b38d-bd6e75522a51.pdf", "Elder Caleb Financial Disclosure 05 24 2022_a4d1d3ad-a766-4a8a-b38d-bd6e75522a51.pdf")</f>
        <v>Elder Caleb Financial Disclosure 05 24 2022_a4d1d3ad-a766-4a8a-b38d-bd6e75522a51.pdf</v>
      </c>
      <c r="O111" s="3"/>
      <c r="P111" s="3"/>
      <c r="Q111" s="3"/>
      <c r="R111" s="3"/>
      <c r="S111" s="3"/>
      <c r="T111" s="3"/>
      <c r="U111" s="3"/>
      <c r="V111" s="3"/>
    </row>
    <row r="112" spans="1:22" ht="31.5" x14ac:dyDescent="0.5">
      <c r="A112" s="3" t="s">
        <v>14</v>
      </c>
      <c r="B112" s="3" t="s">
        <v>368</v>
      </c>
      <c r="C112" s="3" t="s">
        <v>1193</v>
      </c>
      <c r="D112" s="3" t="s">
        <v>1194</v>
      </c>
      <c r="E112" s="3" t="s">
        <v>76</v>
      </c>
      <c r="F112" s="3" t="s">
        <v>1195</v>
      </c>
      <c r="G112" s="3" t="s">
        <v>1196</v>
      </c>
      <c r="H112" s="3" t="s">
        <v>20</v>
      </c>
      <c r="I112" s="5" t="s">
        <v>1197</v>
      </c>
      <c r="J112" s="3" t="s">
        <v>1198</v>
      </c>
      <c r="K112" s="3" t="s">
        <v>23</v>
      </c>
      <c r="L112" s="3" t="s">
        <v>1199</v>
      </c>
      <c r="M112" s="3" t="s">
        <v>2201</v>
      </c>
      <c r="N112" s="16" t="str">
        <f>HYPERLINK("https://electionmgmt.vermont.gov/TFA/DownLoadFinancialDisclosure?FileName=Mullin Valerie Financial Disclosure 05 24 2022_372b4542-d2f5-47b4-a41c-bde9342209c8.pdf", "Mullin Valerie Financial Disclosure 05 24 2022_372b4542-d2f5-47b4-a41c-bde9342209c8.pdf")</f>
        <v>Mullin Valerie Financial Disclosure 05 24 2022_372b4542-d2f5-47b4-a41c-bde9342209c8.pdf</v>
      </c>
      <c r="O112" s="3"/>
      <c r="P112" s="3"/>
      <c r="Q112" s="3"/>
      <c r="R112" s="3"/>
      <c r="S112" s="3"/>
      <c r="T112" s="3"/>
      <c r="U112" s="3"/>
      <c r="V112" s="3"/>
    </row>
    <row r="113" spans="1:22" ht="31.5" x14ac:dyDescent="0.5">
      <c r="A113" s="3" t="s">
        <v>14</v>
      </c>
      <c r="B113" s="3" t="s">
        <v>950</v>
      </c>
      <c r="C113" s="3" t="s">
        <v>1710</v>
      </c>
      <c r="D113" s="3" t="s">
        <v>1704</v>
      </c>
      <c r="E113" s="3" t="s">
        <v>76</v>
      </c>
      <c r="F113" s="3" t="s">
        <v>1711</v>
      </c>
      <c r="G113" s="3" t="s">
        <v>1704</v>
      </c>
      <c r="H113" s="3" t="s">
        <v>20</v>
      </c>
      <c r="I113" s="5" t="s">
        <v>1706</v>
      </c>
      <c r="J113" s="3" t="s">
        <v>1712</v>
      </c>
      <c r="K113" s="3" t="s">
        <v>1712</v>
      </c>
      <c r="L113" s="3" t="s">
        <v>2219</v>
      </c>
      <c r="M113" s="3" t="s">
        <v>2220</v>
      </c>
      <c r="N113" s="16" t="str">
        <f>HYPERLINK("https://electionmgmt.vermont.gov/TFA/DownLoadFinancialDisclosure?FileName=Christiano Financial Disclosure_d94e18d3-4b15-4e34-9e97-646c8e6b6d0d.pdf", "Christiano Financial Disclosure_d94e18d3-4b15-4e34-9e97-646c8e6b6d0d.pdf")</f>
        <v>Christiano Financial Disclosure_d94e18d3-4b15-4e34-9e97-646c8e6b6d0d.pdf</v>
      </c>
      <c r="O113" s="3"/>
      <c r="P113" s="3"/>
      <c r="Q113" s="3"/>
      <c r="R113" s="3"/>
      <c r="S113" s="3"/>
      <c r="T113" s="3"/>
      <c r="U113" s="3"/>
      <c r="V113" s="3"/>
    </row>
    <row r="114" spans="1:22" ht="31.5" x14ac:dyDescent="0.5">
      <c r="A114" s="3" t="s">
        <v>14</v>
      </c>
      <c r="B114" s="3" t="s">
        <v>950</v>
      </c>
      <c r="C114" s="3" t="s">
        <v>2089</v>
      </c>
      <c r="D114" s="3" t="s">
        <v>952</v>
      </c>
      <c r="E114" s="3" t="s">
        <v>76</v>
      </c>
      <c r="F114" s="3" t="s">
        <v>2090</v>
      </c>
      <c r="G114" s="3" t="s">
        <v>952</v>
      </c>
      <c r="H114" s="3" t="s">
        <v>20</v>
      </c>
      <c r="I114" s="5" t="s">
        <v>954</v>
      </c>
      <c r="J114" s="3" t="s">
        <v>2091</v>
      </c>
      <c r="K114" s="3" t="s">
        <v>2091</v>
      </c>
      <c r="L114" s="3" t="s">
        <v>2092</v>
      </c>
      <c r="M114" s="3" t="s">
        <v>23</v>
      </c>
      <c r="N114" s="16" t="str">
        <f>HYPERLINK("https://electionmgmt.vermont.gov/TFA/DownLoadFinancialDisclosure?FileName=Kent Financial Disclosure_178e873a-5ff8-4bff-8e82-ce0c9bec7379.pdf", "Kent Financial Disclosure_178e873a-5ff8-4bff-8e82-ce0c9bec7379.pdf")</f>
        <v>Kent Financial Disclosure_178e873a-5ff8-4bff-8e82-ce0c9bec7379.pdf</v>
      </c>
      <c r="O114" s="3"/>
      <c r="P114" s="3"/>
      <c r="Q114" s="3"/>
      <c r="R114" s="3"/>
      <c r="S114" s="3"/>
      <c r="T114" s="3"/>
      <c r="U114" s="3"/>
      <c r="V114" s="3"/>
    </row>
    <row r="115" spans="1:22" ht="31.5" x14ac:dyDescent="0.5">
      <c r="A115" s="3" t="s">
        <v>14</v>
      </c>
      <c r="B115" s="3" t="s">
        <v>950</v>
      </c>
      <c r="C115" s="3" t="s">
        <v>951</v>
      </c>
      <c r="D115" s="3" t="s">
        <v>952</v>
      </c>
      <c r="E115" s="3" t="s">
        <v>18</v>
      </c>
      <c r="F115" s="3" t="s">
        <v>953</v>
      </c>
      <c r="G115" s="3" t="s">
        <v>952</v>
      </c>
      <c r="H115" s="3" t="s">
        <v>20</v>
      </c>
      <c r="I115" s="5" t="s">
        <v>954</v>
      </c>
      <c r="J115" s="3" t="s">
        <v>955</v>
      </c>
      <c r="K115" s="3" t="s">
        <v>955</v>
      </c>
      <c r="L115" s="3" t="s">
        <v>956</v>
      </c>
      <c r="M115" s="3" t="s">
        <v>957</v>
      </c>
      <c r="N115" s="16" t="str">
        <f>HYPERLINK("https://electionmgmt.vermont.gov/TFA/DownLoadFinancialDisclosure?FileName=McGill Financial Disclosure_07f5561f-a043-44c4-ac54-5d15f7601ac0.pdf", "McGill Financial Disclosure_07f5561f-a043-44c4-ac54-5d15f7601ac0.pdf")</f>
        <v>McGill Financial Disclosure_07f5561f-a043-44c4-ac54-5d15f7601ac0.pdf</v>
      </c>
      <c r="O115" s="3"/>
      <c r="P115" s="3"/>
      <c r="Q115" s="3"/>
      <c r="R115" s="3"/>
      <c r="S115" s="3"/>
      <c r="T115" s="3"/>
      <c r="U115" s="3"/>
      <c r="V115" s="3"/>
    </row>
    <row r="116" spans="1:22" ht="31.5" x14ac:dyDescent="0.5">
      <c r="A116" s="3" t="s">
        <v>14</v>
      </c>
      <c r="B116" s="3" t="s">
        <v>2040</v>
      </c>
      <c r="C116" s="3" t="s">
        <v>2189</v>
      </c>
      <c r="D116" s="3" t="s">
        <v>2041</v>
      </c>
      <c r="E116" s="3" t="s">
        <v>18</v>
      </c>
      <c r="F116" s="3" t="s">
        <v>2042</v>
      </c>
      <c r="G116" s="3" t="s">
        <v>2041</v>
      </c>
      <c r="H116" s="3" t="s">
        <v>20</v>
      </c>
      <c r="I116" s="5" t="s">
        <v>2043</v>
      </c>
      <c r="J116" s="3" t="s">
        <v>2044</v>
      </c>
      <c r="K116" s="3" t="s">
        <v>23</v>
      </c>
      <c r="L116" s="3" t="s">
        <v>2045</v>
      </c>
      <c r="M116" s="3" t="s">
        <v>2046</v>
      </c>
      <c r="N116" s="16" t="str">
        <f>HYPERLINK("https://electionmgmt.vermont.gov/TFA/DownLoadFinancialDisclosure?FileName=SKM_C30822053112010_a710e498-763b-4d76-8c3b-6c7af3b02b9e.pdf", "SKM_C30822053112010_a710e498-763b-4d76-8c3b-6c7af3b02b9e.pdf")</f>
        <v>SKM_C30822053112010_a710e498-763b-4d76-8c3b-6c7af3b02b9e.pdf</v>
      </c>
      <c r="O116" s="3"/>
      <c r="P116" s="3"/>
      <c r="Q116" s="3"/>
      <c r="R116" s="3"/>
      <c r="S116" s="3"/>
      <c r="T116" s="3"/>
      <c r="U116" s="3"/>
      <c r="V116" s="3"/>
    </row>
    <row r="117" spans="1:22" ht="31.5" x14ac:dyDescent="0.5">
      <c r="A117" s="3" t="s">
        <v>14</v>
      </c>
      <c r="B117" s="3" t="s">
        <v>767</v>
      </c>
      <c r="C117" s="3" t="s">
        <v>811</v>
      </c>
      <c r="D117" s="3" t="s">
        <v>431</v>
      </c>
      <c r="E117" s="3" t="s">
        <v>18</v>
      </c>
      <c r="F117" s="3" t="s">
        <v>812</v>
      </c>
      <c r="G117" s="3" t="s">
        <v>431</v>
      </c>
      <c r="H117" s="3" t="s">
        <v>20</v>
      </c>
      <c r="I117" s="5" t="s">
        <v>813</v>
      </c>
      <c r="J117" s="3" t="s">
        <v>23</v>
      </c>
      <c r="K117" s="3" t="s">
        <v>23</v>
      </c>
      <c r="L117" s="3" t="s">
        <v>814</v>
      </c>
      <c r="M117" s="3" t="s">
        <v>23</v>
      </c>
      <c r="N117" s="16" t="str">
        <f>HYPERLINK("https://electionmgmt.vermont.gov/TFA/DownLoadFinancialDisclosure?FileName=State Rep Fin Disclosure N Brownell 5-24-22_647cbf48-c8cc-4f9c-bb75-3e207856032d.pdf", "State Rep Fin Disclosure N Brownell 5-24-22_647cbf48-c8cc-4f9c-bb75-3e207856032d.pdf")</f>
        <v>State Rep Fin Disclosure N Brownell 5-24-22_647cbf48-c8cc-4f9c-bb75-3e207856032d.pdf</v>
      </c>
      <c r="O117" s="3"/>
      <c r="P117" s="3"/>
      <c r="Q117" s="3"/>
      <c r="R117" s="3"/>
      <c r="S117" s="3"/>
      <c r="T117" s="3"/>
      <c r="U117" s="3"/>
      <c r="V117" s="3"/>
    </row>
    <row r="118" spans="1:22" ht="31.5" x14ac:dyDescent="0.5">
      <c r="A118" s="3" t="s">
        <v>14</v>
      </c>
      <c r="B118" s="3" t="s">
        <v>175</v>
      </c>
      <c r="C118" s="3" t="s">
        <v>176</v>
      </c>
      <c r="D118" s="3" t="s">
        <v>177</v>
      </c>
      <c r="E118" s="3" t="s">
        <v>18</v>
      </c>
      <c r="F118" s="3" t="s">
        <v>178</v>
      </c>
      <c r="G118" s="3" t="s">
        <v>177</v>
      </c>
      <c r="H118" s="3" t="s">
        <v>20</v>
      </c>
      <c r="I118" s="5" t="s">
        <v>179</v>
      </c>
      <c r="J118" s="3" t="s">
        <v>23</v>
      </c>
      <c r="K118" s="3" t="s">
        <v>23</v>
      </c>
      <c r="L118" s="3"/>
      <c r="M118" s="3"/>
      <c r="N118" s="16" t="str">
        <f>HYPERLINK("https://electionmgmt.vermont.gov/TFA/DownLoadFinancialDisclosure?FileName=20220509091559625_fa1e08ca-6a6c-4be5-82d0-cf682c1c0d02.pdf", "20220509091559625_fa1e08ca-6a6c-4be5-82d0-cf682c1c0d02.pdf")</f>
        <v>20220509091559625_fa1e08ca-6a6c-4be5-82d0-cf682c1c0d02.pdf</v>
      </c>
      <c r="O118" s="3"/>
      <c r="P118" s="3"/>
      <c r="Q118" s="3"/>
      <c r="R118" s="3"/>
      <c r="S118" s="3"/>
      <c r="T118" s="3"/>
      <c r="U118" s="3"/>
      <c r="V118" s="3"/>
    </row>
    <row r="119" spans="1:22" ht="31.5" x14ac:dyDescent="0.5">
      <c r="A119" s="3" t="s">
        <v>14</v>
      </c>
      <c r="B119" s="3" t="s">
        <v>175</v>
      </c>
      <c r="C119" s="3" t="s">
        <v>1411</v>
      </c>
      <c r="D119" s="3" t="s">
        <v>177</v>
      </c>
      <c r="E119" s="3" t="s">
        <v>18</v>
      </c>
      <c r="F119" s="3" t="s">
        <v>1412</v>
      </c>
      <c r="G119" s="3" t="s">
        <v>1413</v>
      </c>
      <c r="H119" s="3" t="s">
        <v>20</v>
      </c>
      <c r="I119" s="5" t="s">
        <v>414</v>
      </c>
      <c r="J119" s="3" t="s">
        <v>1414</v>
      </c>
      <c r="K119" s="3" t="s">
        <v>23</v>
      </c>
      <c r="L119" s="3" t="s">
        <v>1415</v>
      </c>
      <c r="M119" s="3" t="s">
        <v>1416</v>
      </c>
      <c r="N119" s="16" t="str">
        <f>HYPERLINK("https://electionmgmt.vermont.gov/TFA/DownLoadFinancialDisclosure?FileName=20220526084708005_cca119d4-1314-4a76-880c-7309e5595c42.pdf", "20220526084708005_cca119d4-1314-4a76-880c-7309e5595c42.pdf")</f>
        <v>20220526084708005_cca119d4-1314-4a76-880c-7309e5595c42.pdf</v>
      </c>
      <c r="O119" s="3"/>
      <c r="P119" s="3"/>
      <c r="Q119" s="3"/>
      <c r="R119" s="3"/>
      <c r="S119" s="3"/>
      <c r="T119" s="3"/>
      <c r="U119" s="3"/>
      <c r="V119" s="3"/>
    </row>
    <row r="120" spans="1:22" ht="31.5" x14ac:dyDescent="0.5">
      <c r="A120" s="3" t="s">
        <v>14</v>
      </c>
      <c r="B120" s="3" t="s">
        <v>237</v>
      </c>
      <c r="C120" s="3" t="s">
        <v>1417</v>
      </c>
      <c r="D120" s="3" t="s">
        <v>239</v>
      </c>
      <c r="E120" s="3" t="s">
        <v>18</v>
      </c>
      <c r="F120" s="3" t="s">
        <v>1418</v>
      </c>
      <c r="G120" s="3" t="s">
        <v>239</v>
      </c>
      <c r="H120" s="3" t="s">
        <v>20</v>
      </c>
      <c r="I120" s="5" t="s">
        <v>241</v>
      </c>
      <c r="J120" s="3" t="s">
        <v>1419</v>
      </c>
      <c r="K120" s="3" t="s">
        <v>1419</v>
      </c>
      <c r="L120" s="3" t="s">
        <v>1420</v>
      </c>
      <c r="M120" s="3" t="s">
        <v>1421</v>
      </c>
      <c r="N120" s="16" t="str">
        <f>HYPERLINK("https://electionmgmt.vermont.gov/TFA/DownLoadFinancialDisclosure?FileName=doc05033420220525162749_749c8dec-0a12-4a83-b6fd-ff4a02b3cc9d.pdf", "doc05033420220525162749_749c8dec-0a12-4a83-b6fd-ff4a02b3cc9d.pdf")</f>
        <v>doc05033420220525162749_749c8dec-0a12-4a83-b6fd-ff4a02b3cc9d.pdf</v>
      </c>
      <c r="O120" s="3"/>
      <c r="P120" s="3"/>
      <c r="Q120" s="3"/>
      <c r="R120" s="3"/>
      <c r="S120" s="3"/>
      <c r="T120" s="3"/>
      <c r="U120" s="3"/>
      <c r="V120" s="3"/>
    </row>
    <row r="121" spans="1:22" ht="31.5" x14ac:dyDescent="0.5">
      <c r="A121" s="3" t="s">
        <v>14</v>
      </c>
      <c r="B121" s="3" t="s">
        <v>237</v>
      </c>
      <c r="C121" s="3" t="s">
        <v>238</v>
      </c>
      <c r="D121" s="3" t="s">
        <v>239</v>
      </c>
      <c r="E121" s="3" t="s">
        <v>76</v>
      </c>
      <c r="F121" s="3" t="s">
        <v>240</v>
      </c>
      <c r="G121" s="3" t="s">
        <v>239</v>
      </c>
      <c r="H121" s="3" t="s">
        <v>20</v>
      </c>
      <c r="I121" s="5" t="s">
        <v>241</v>
      </c>
      <c r="J121" s="3" t="s">
        <v>242</v>
      </c>
      <c r="K121" s="3" t="s">
        <v>243</v>
      </c>
      <c r="L121" s="3" t="s">
        <v>244</v>
      </c>
      <c r="M121" s="3" t="s">
        <v>23</v>
      </c>
      <c r="N121" s="16" t="s">
        <v>466</v>
      </c>
      <c r="O121" s="3"/>
      <c r="P121" s="3"/>
      <c r="Q121" s="3"/>
      <c r="R121" s="3"/>
      <c r="S121" s="3"/>
      <c r="T121" s="3"/>
      <c r="U121" s="3"/>
      <c r="V121" s="3"/>
    </row>
    <row r="122" spans="1:22" ht="31.5" x14ac:dyDescent="0.5">
      <c r="A122" s="3" t="s">
        <v>14</v>
      </c>
      <c r="B122" s="3" t="s">
        <v>958</v>
      </c>
      <c r="C122" s="3" t="s">
        <v>959</v>
      </c>
      <c r="D122" s="3" t="s">
        <v>708</v>
      </c>
      <c r="E122" s="3" t="s">
        <v>18</v>
      </c>
      <c r="F122" s="3" t="s">
        <v>960</v>
      </c>
      <c r="G122" s="3" t="s">
        <v>961</v>
      </c>
      <c r="H122" s="3" t="s">
        <v>20</v>
      </c>
      <c r="I122" s="5" t="s">
        <v>710</v>
      </c>
      <c r="J122" s="3" t="s">
        <v>962</v>
      </c>
      <c r="K122" s="3" t="s">
        <v>962</v>
      </c>
      <c r="L122" s="3" t="s">
        <v>963</v>
      </c>
      <c r="M122" s="3" t="s">
        <v>964</v>
      </c>
      <c r="N122" s="16" t="str">
        <f>HYPERLINK("https://electionmgmt.vermont.gov/TFA/DownLoadFinancialDisclosure?FileName=Bongartz, Seth Financial Disclosure for Benn-4_ea22b359-9abf-44fb-a89c-0866b44affe4.pdf", "Bongartz, Seth Financial Disclosure for Benn-4_ea22b359-9abf-44fb-a89c-0866b44affe4.pdf")</f>
        <v>Bongartz, Seth Financial Disclosure for Benn-4_ea22b359-9abf-44fb-a89c-0866b44affe4.pdf</v>
      </c>
      <c r="O122" s="3"/>
      <c r="P122" s="3"/>
      <c r="Q122" s="3"/>
      <c r="R122" s="3"/>
      <c r="S122" s="3"/>
      <c r="T122" s="3"/>
      <c r="U122" s="3"/>
      <c r="V122" s="3"/>
    </row>
    <row r="123" spans="1:22" ht="31.5" x14ac:dyDescent="0.5">
      <c r="A123" s="3" t="s">
        <v>14</v>
      </c>
      <c r="B123" s="3" t="s">
        <v>958</v>
      </c>
      <c r="C123" s="3" t="s">
        <v>965</v>
      </c>
      <c r="D123" s="3" t="s">
        <v>708</v>
      </c>
      <c r="E123" s="3" t="s">
        <v>18</v>
      </c>
      <c r="F123" s="3" t="s">
        <v>966</v>
      </c>
      <c r="G123" s="3" t="s">
        <v>961</v>
      </c>
      <c r="H123" s="3" t="s">
        <v>20</v>
      </c>
      <c r="I123" s="5" t="s">
        <v>710</v>
      </c>
      <c r="J123" s="3" t="s">
        <v>967</v>
      </c>
      <c r="K123" s="3" t="s">
        <v>23</v>
      </c>
      <c r="L123" s="3" t="s">
        <v>968</v>
      </c>
      <c r="M123" s="3" t="s">
        <v>969</v>
      </c>
      <c r="N123" s="16" t="str">
        <f>HYPERLINK("https://electionmgmt.vermont.gov/TFA/DownLoadFinancialDisclosure?FileName=James, Kathleen Financial Disclosure for Benn-4_e282bc96-9e32-405d-8faf-915994afc9d2.pdf", "James, Kathleen Financial Disclosure for Benn-4_e282bc96-9e32-405d-8faf-915994afc9d2.pdf")</f>
        <v>James, Kathleen Financial Disclosure for Benn-4_e282bc96-9e32-405d-8faf-915994afc9d2.pdf</v>
      </c>
      <c r="O123" s="3"/>
      <c r="P123" s="3"/>
      <c r="Q123" s="3"/>
      <c r="R123" s="3"/>
      <c r="S123" s="3"/>
      <c r="T123" s="3"/>
      <c r="U123" s="3"/>
      <c r="V123" s="3"/>
    </row>
    <row r="124" spans="1:22" ht="31.5" x14ac:dyDescent="0.5">
      <c r="A124" s="3" t="s">
        <v>14</v>
      </c>
      <c r="B124" s="3" t="s">
        <v>970</v>
      </c>
      <c r="C124" s="3" t="s">
        <v>1422</v>
      </c>
      <c r="D124" s="3" t="s">
        <v>177</v>
      </c>
      <c r="E124" s="3" t="s">
        <v>18</v>
      </c>
      <c r="F124" s="3" t="s">
        <v>1423</v>
      </c>
      <c r="G124" s="3" t="s">
        <v>177</v>
      </c>
      <c r="H124" s="3" t="s">
        <v>20</v>
      </c>
      <c r="I124" s="5" t="s">
        <v>179</v>
      </c>
      <c r="J124" s="3" t="s">
        <v>23</v>
      </c>
      <c r="K124" s="3" t="s">
        <v>23</v>
      </c>
      <c r="L124" s="3" t="s">
        <v>1424</v>
      </c>
      <c r="M124" s="3" t="s">
        <v>23</v>
      </c>
      <c r="N124" s="16" t="str">
        <f>HYPERLINK("https://electionmgmt.vermont.gov/TFA/DownLoadFinancialDisclosure?FileName=J Carroll disclosure_b82746f1-c2b0-41a2-ba00-360a518db6cd.pdf", "J Carroll disclosure_b82746f1-c2b0-41a2-ba00-360a518db6cd.pdf")</f>
        <v>J Carroll disclosure_b82746f1-c2b0-41a2-ba00-360a518db6cd.pdf</v>
      </c>
      <c r="O124" s="3"/>
      <c r="P124" s="3"/>
      <c r="Q124" s="3"/>
      <c r="R124" s="3"/>
      <c r="S124" s="3"/>
      <c r="T124" s="3"/>
      <c r="U124" s="3"/>
      <c r="V124" s="3"/>
    </row>
    <row r="125" spans="1:22" ht="31.5" x14ac:dyDescent="0.5">
      <c r="A125" s="3" t="s">
        <v>14</v>
      </c>
      <c r="B125" s="3" t="s">
        <v>970</v>
      </c>
      <c r="C125" s="3" t="s">
        <v>1713</v>
      </c>
      <c r="D125" s="3" t="s">
        <v>177</v>
      </c>
      <c r="E125" s="3" t="s">
        <v>76</v>
      </c>
      <c r="F125" s="3" t="s">
        <v>1714</v>
      </c>
      <c r="G125" s="3" t="s">
        <v>177</v>
      </c>
      <c r="H125" s="3" t="s">
        <v>20</v>
      </c>
      <c r="I125" s="5" t="s">
        <v>179</v>
      </c>
      <c r="J125" s="3" t="s">
        <v>23</v>
      </c>
      <c r="K125" s="3" t="s">
        <v>23</v>
      </c>
      <c r="L125" s="3" t="s">
        <v>1715</v>
      </c>
      <c r="M125" s="3" t="s">
        <v>23</v>
      </c>
      <c r="N125" s="16" t="str">
        <f>HYPERLINK("https://electionmgmt.vermont.gov/TFA/DownLoadFinancialDisclosure?FileName=M Morrissey disclosure_bf6b6bf4-c385-47cf-9880-83d34b2168ce.pdf", "M Morrissey disclosure_bf6b6bf4-c385-47cf-9880-83d34b2168ce.pdf")</f>
        <v>M Morrissey disclosure_bf6b6bf4-c385-47cf-9880-83d34b2168ce.pdf</v>
      </c>
      <c r="O125" s="3"/>
      <c r="P125" s="3"/>
      <c r="Q125" s="3"/>
      <c r="R125" s="3"/>
      <c r="S125" s="3"/>
      <c r="T125" s="3"/>
      <c r="U125" s="3"/>
      <c r="V125" s="3"/>
    </row>
    <row r="126" spans="1:22" ht="31.5" x14ac:dyDescent="0.5">
      <c r="A126" s="3" t="s">
        <v>14</v>
      </c>
      <c r="B126" s="3" t="s">
        <v>970</v>
      </c>
      <c r="C126" s="3" t="s">
        <v>971</v>
      </c>
      <c r="D126" s="3" t="s">
        <v>177</v>
      </c>
      <c r="E126" s="3" t="s">
        <v>18</v>
      </c>
      <c r="F126" s="3" t="s">
        <v>972</v>
      </c>
      <c r="G126" s="3" t="s">
        <v>177</v>
      </c>
      <c r="H126" s="3" t="s">
        <v>20</v>
      </c>
      <c r="I126" s="5" t="s">
        <v>179</v>
      </c>
      <c r="J126" s="3" t="s">
        <v>973</v>
      </c>
      <c r="K126" s="3" t="s">
        <v>23</v>
      </c>
      <c r="L126" s="3" t="s">
        <v>974</v>
      </c>
      <c r="M126" s="3" t="s">
        <v>23</v>
      </c>
      <c r="N126" s="16" t="str">
        <f>HYPERLINK("https://electionmgmt.vermont.gov/TFA/DownLoadFinancialDisclosure?FileName=20220525122217488_b20bf409-6963-4abe-9bf7-4ddffccc6b0d.pdf", "20220525122217488_b20bf409-6963-4abe-9bf7-4ddffccc6b0d.pdf")</f>
        <v>20220525122217488_b20bf409-6963-4abe-9bf7-4ddffccc6b0d.pdf</v>
      </c>
      <c r="O126" s="3"/>
      <c r="P126" s="3"/>
      <c r="Q126" s="3"/>
      <c r="R126" s="3"/>
      <c r="S126" s="3"/>
      <c r="T126" s="3"/>
      <c r="U126" s="3"/>
      <c r="V126" s="3"/>
    </row>
    <row r="127" spans="1:22" ht="31.5" x14ac:dyDescent="0.5">
      <c r="A127" s="3" t="s">
        <v>14</v>
      </c>
      <c r="B127" s="3" t="s">
        <v>2051</v>
      </c>
      <c r="C127" s="3" t="s">
        <v>2052</v>
      </c>
      <c r="D127" s="3" t="s">
        <v>2053</v>
      </c>
      <c r="E127" s="3" t="s">
        <v>76</v>
      </c>
      <c r="F127" s="3" t="s">
        <v>2054</v>
      </c>
      <c r="G127" s="3" t="s">
        <v>2053</v>
      </c>
      <c r="H127" s="3" t="s">
        <v>20</v>
      </c>
      <c r="I127" s="5" t="s">
        <v>2055</v>
      </c>
      <c r="J127" s="3" t="s">
        <v>2056</v>
      </c>
      <c r="K127" s="3" t="s">
        <v>23</v>
      </c>
      <c r="L127" s="3" t="s">
        <v>2057</v>
      </c>
      <c r="M127" s="3"/>
      <c r="N127" s="16"/>
      <c r="O127" s="3"/>
      <c r="P127" s="3"/>
      <c r="Q127" s="3"/>
      <c r="R127" s="3"/>
      <c r="S127" s="3"/>
      <c r="T127" s="3"/>
      <c r="U127" s="3"/>
      <c r="V127" s="3"/>
    </row>
    <row r="128" spans="1:22" ht="31.5" x14ac:dyDescent="0.5">
      <c r="A128" s="3" t="s">
        <v>14</v>
      </c>
      <c r="B128" s="3" t="s">
        <v>2051</v>
      </c>
      <c r="C128" s="3" t="s">
        <v>2058</v>
      </c>
      <c r="D128" s="3" t="s">
        <v>2059</v>
      </c>
      <c r="E128" s="3" t="s">
        <v>18</v>
      </c>
      <c r="F128" s="3" t="s">
        <v>2060</v>
      </c>
      <c r="G128" s="3" t="s">
        <v>2059</v>
      </c>
      <c r="H128" s="3" t="s">
        <v>20</v>
      </c>
      <c r="I128" s="5" t="s">
        <v>2061</v>
      </c>
      <c r="J128" s="3" t="s">
        <v>23</v>
      </c>
      <c r="K128" s="3" t="s">
        <v>23</v>
      </c>
      <c r="L128" s="3" t="s">
        <v>2062</v>
      </c>
      <c r="M128" s="3"/>
      <c r="N128" s="16"/>
      <c r="O128" s="3"/>
      <c r="P128" s="3"/>
      <c r="Q128" s="3"/>
      <c r="R128" s="3"/>
      <c r="S128" s="3"/>
      <c r="T128" s="3"/>
      <c r="U128" s="3"/>
      <c r="V128" s="3"/>
    </row>
    <row r="129" spans="1:22" ht="31.5" x14ac:dyDescent="0.5">
      <c r="A129" s="3" t="s">
        <v>14</v>
      </c>
      <c r="B129" s="3" t="s">
        <v>1850</v>
      </c>
      <c r="C129" s="3" t="s">
        <v>2185</v>
      </c>
      <c r="D129" s="3" t="s">
        <v>2063</v>
      </c>
      <c r="E129" s="3" t="s">
        <v>18</v>
      </c>
      <c r="F129" s="3" t="s">
        <v>2064</v>
      </c>
      <c r="G129" s="3" t="s">
        <v>2063</v>
      </c>
      <c r="H129" s="3" t="s">
        <v>20</v>
      </c>
      <c r="I129" s="5" t="s">
        <v>2065</v>
      </c>
      <c r="J129" s="3" t="s">
        <v>2066</v>
      </c>
      <c r="K129" s="3" t="s">
        <v>23</v>
      </c>
      <c r="L129" s="12" t="s">
        <v>2067</v>
      </c>
      <c r="M129" s="3" t="s">
        <v>2068</v>
      </c>
      <c r="N129" s="16" t="str">
        <f>HYPERLINK("https://electionmgmt.vermont.gov/TFA/DownLoadFinancialDisclosure?FileName=2022_FarliceRubio_FinancialDisclosure_60f317e0-7dba-4251-800a-aed49a4b4124.pdf", "2022_FarliceRubio_FinancialDisclosure_60f317e0-7dba-4251-800a-aed49a4b4124.pdf")</f>
        <v>2022_FarliceRubio_FinancialDisclosure_60f317e0-7dba-4251-800a-aed49a4b4124.pdf</v>
      </c>
      <c r="O129" s="3"/>
      <c r="P129" s="3"/>
      <c r="Q129" s="3"/>
      <c r="R129" s="3"/>
      <c r="S129" s="3"/>
      <c r="T129" s="3"/>
      <c r="U129" s="3"/>
      <c r="V129" s="3"/>
    </row>
    <row r="130" spans="1:22" ht="31.5" x14ac:dyDescent="0.5">
      <c r="A130" s="3" t="s">
        <v>14</v>
      </c>
      <c r="B130" s="3" t="s">
        <v>975</v>
      </c>
      <c r="C130" s="3" t="s">
        <v>976</v>
      </c>
      <c r="D130" s="3" t="s">
        <v>977</v>
      </c>
      <c r="E130" s="3" t="s">
        <v>18</v>
      </c>
      <c r="F130" s="3" t="s">
        <v>978</v>
      </c>
      <c r="G130" s="3" t="s">
        <v>979</v>
      </c>
      <c r="H130" s="3" t="s">
        <v>20</v>
      </c>
      <c r="I130" s="5" t="s">
        <v>980</v>
      </c>
      <c r="J130" s="3" t="s">
        <v>981</v>
      </c>
      <c r="K130" s="3" t="s">
        <v>23</v>
      </c>
      <c r="L130" s="3" t="s">
        <v>982</v>
      </c>
      <c r="M130" s="3" t="s">
        <v>23</v>
      </c>
      <c r="N130" s="16" t="str">
        <f>HYPERLINK("https://electionmgmt.vermont.gov/TFA/DownLoadFinancialDisclosure?FileName=Troiano_83523d57-d8a7-437a-8e26-a5e7052fdee1.pdf", "Troiano_83523d57-d8a7-437a-8e26-a5e7052fdee1.pdf")</f>
        <v>Troiano_83523d57-d8a7-437a-8e26-a5e7052fdee1.pdf</v>
      </c>
      <c r="O130" s="3"/>
      <c r="P130" s="3"/>
      <c r="Q130" s="3"/>
      <c r="R130" s="3"/>
      <c r="S130" s="3"/>
      <c r="T130" s="3"/>
      <c r="U130" s="3"/>
      <c r="V130" s="3"/>
    </row>
    <row r="131" spans="1:22" ht="31.5" x14ac:dyDescent="0.5">
      <c r="A131" s="3" t="s">
        <v>14</v>
      </c>
      <c r="B131" s="3" t="s">
        <v>1200</v>
      </c>
      <c r="C131" s="3" t="s">
        <v>1425</v>
      </c>
      <c r="D131" s="3" t="s">
        <v>1426</v>
      </c>
      <c r="E131" s="3" t="s">
        <v>18</v>
      </c>
      <c r="F131" s="3" t="s">
        <v>1427</v>
      </c>
      <c r="G131" s="3" t="s">
        <v>1428</v>
      </c>
      <c r="H131" s="3" t="s">
        <v>20</v>
      </c>
      <c r="I131" s="5" t="s">
        <v>1429</v>
      </c>
      <c r="J131" s="3" t="s">
        <v>23</v>
      </c>
      <c r="K131" s="3" t="s">
        <v>23</v>
      </c>
      <c r="L131" s="3"/>
      <c r="M131" s="3"/>
      <c r="N131" s="16" t="str">
        <f>HYPERLINK("https://electionmgmt.vermont.gov/TFA/DownLoadFinancialDisclosure?FileName=E Boland Financial Disclosure Form_33f0c0ec-12a6-4b57-90a4-2ec1d59223d4.pdf", "E Boland Financial Disclosure Form_33f0c0ec-12a6-4b57-90a4-2ec1d59223d4.pdf")</f>
        <v>E Boland Financial Disclosure Form_33f0c0ec-12a6-4b57-90a4-2ec1d59223d4.pdf</v>
      </c>
      <c r="O131" s="3"/>
      <c r="P131" s="3"/>
      <c r="Q131" s="3"/>
      <c r="R131" s="3"/>
      <c r="S131" s="3"/>
      <c r="T131" s="3"/>
      <c r="U131" s="3"/>
      <c r="V131" s="3"/>
    </row>
    <row r="132" spans="1:22" ht="31.5" x14ac:dyDescent="0.5">
      <c r="A132" s="3" t="s">
        <v>14</v>
      </c>
      <c r="B132" s="3" t="s">
        <v>1200</v>
      </c>
      <c r="C132" s="3" t="s">
        <v>1430</v>
      </c>
      <c r="D132" s="3" t="s">
        <v>124</v>
      </c>
      <c r="E132" s="3" t="s">
        <v>18</v>
      </c>
      <c r="F132" s="3" t="s">
        <v>1431</v>
      </c>
      <c r="G132" s="3" t="s">
        <v>126</v>
      </c>
      <c r="H132" s="3" t="s">
        <v>20</v>
      </c>
      <c r="I132" s="5" t="s">
        <v>127</v>
      </c>
      <c r="J132" s="3" t="s">
        <v>23</v>
      </c>
      <c r="K132" s="3" t="s">
        <v>23</v>
      </c>
      <c r="L132" s="3"/>
      <c r="M132" s="3"/>
      <c r="N132" s="16" t="s">
        <v>1432</v>
      </c>
      <c r="O132" s="3"/>
      <c r="P132" s="3"/>
      <c r="Q132" s="3"/>
      <c r="R132" s="3"/>
      <c r="S132" s="3"/>
      <c r="T132" s="3"/>
      <c r="U132" s="3"/>
      <c r="V132" s="3"/>
    </row>
    <row r="133" spans="1:22" ht="31.5" x14ac:dyDescent="0.5">
      <c r="A133" s="3" t="s">
        <v>14</v>
      </c>
      <c r="B133" s="3" t="s">
        <v>1200</v>
      </c>
      <c r="C133" s="3" t="s">
        <v>1201</v>
      </c>
      <c r="D133" s="3" t="s">
        <v>124</v>
      </c>
      <c r="E133" s="3" t="s">
        <v>76</v>
      </c>
      <c r="F133" s="3" t="s">
        <v>1202</v>
      </c>
      <c r="G133" s="3" t="s">
        <v>126</v>
      </c>
      <c r="H133" s="3" t="s">
        <v>20</v>
      </c>
      <c r="I133" s="5" t="s">
        <v>127</v>
      </c>
      <c r="J133" s="3" t="s">
        <v>23</v>
      </c>
      <c r="K133" s="3" t="s">
        <v>23</v>
      </c>
      <c r="L133" s="3" t="s">
        <v>23</v>
      </c>
      <c r="M133" s="3" t="s">
        <v>23</v>
      </c>
      <c r="N133" s="16" t="str">
        <f>HYPERLINK("https://electionmgmt.vermont.gov/TFA/DownLoadFinancialDisclosure?FileName=Charles Wilson Financial Disclosure Forms_7c0771da-2f1d-48b9-90c2-75b45900c044.pdf", "Charles Wilson Financial Disclosure Forms_7c0771da-2f1d-48b9-90c2-75b45900c044.pdf")</f>
        <v>Charles Wilson Financial Disclosure Forms_7c0771da-2f1d-48b9-90c2-75b45900c044.pdf</v>
      </c>
      <c r="O133" s="3"/>
      <c r="P133" s="3"/>
      <c r="Q133" s="3"/>
      <c r="R133" s="3"/>
      <c r="S133" s="3"/>
      <c r="T133" s="3"/>
      <c r="U133" s="3"/>
      <c r="V133" s="3"/>
    </row>
    <row r="134" spans="1:22" ht="31.5" x14ac:dyDescent="0.5">
      <c r="A134" s="3" t="s">
        <v>14</v>
      </c>
      <c r="B134" s="3" t="s">
        <v>333</v>
      </c>
      <c r="C134" s="3" t="s">
        <v>1203</v>
      </c>
      <c r="D134" s="3" t="s">
        <v>335</v>
      </c>
      <c r="E134" s="3" t="s">
        <v>76</v>
      </c>
      <c r="F134" s="3" t="s">
        <v>1204</v>
      </c>
      <c r="G134" s="3" t="s">
        <v>335</v>
      </c>
      <c r="H134" s="3" t="s">
        <v>20</v>
      </c>
      <c r="I134" s="5" t="s">
        <v>312</v>
      </c>
      <c r="J134" s="3" t="s">
        <v>1205</v>
      </c>
      <c r="K134" s="3" t="s">
        <v>23</v>
      </c>
      <c r="L134" s="3" t="s">
        <v>1206</v>
      </c>
      <c r="M134" s="3" t="s">
        <v>1207</v>
      </c>
      <c r="N134" s="16" t="str">
        <f>HYPERLINK("https://electionmgmt.vermont.gov/TFA/DownLoadFinancialDisclosure?FileName=20220525115644_32291684-cbd8-40b1-82fa-8b0bff1e4c9d.pdf", "20220525115644_32291684-cbd8-40b1-82fa-8b0bff1e4c9d.pdf")</f>
        <v>20220525115644_32291684-cbd8-40b1-82fa-8b0bff1e4c9d.pdf</v>
      </c>
      <c r="O134" s="3"/>
      <c r="P134" s="3"/>
      <c r="Q134" s="3"/>
      <c r="R134" s="3"/>
      <c r="S134" s="3"/>
      <c r="T134" s="3"/>
      <c r="U134" s="3"/>
      <c r="V134" s="3"/>
    </row>
    <row r="135" spans="1:22" ht="31.5" x14ac:dyDescent="0.5">
      <c r="A135" s="3" t="s">
        <v>14</v>
      </c>
      <c r="B135" s="3" t="s">
        <v>333</v>
      </c>
      <c r="C135" s="3" t="s">
        <v>983</v>
      </c>
      <c r="D135" s="3" t="s">
        <v>335</v>
      </c>
      <c r="E135" s="3" t="s">
        <v>18</v>
      </c>
      <c r="F135" s="3" t="s">
        <v>984</v>
      </c>
      <c r="G135" s="3" t="s">
        <v>335</v>
      </c>
      <c r="H135" s="3" t="s">
        <v>20</v>
      </c>
      <c r="I135" s="5" t="s">
        <v>312</v>
      </c>
      <c r="J135" s="3" t="s">
        <v>985</v>
      </c>
      <c r="K135" s="3" t="s">
        <v>23</v>
      </c>
      <c r="L135" s="3" t="s">
        <v>2183</v>
      </c>
      <c r="M135" s="3" t="s">
        <v>986</v>
      </c>
      <c r="N135" s="16" t="str">
        <f>HYPERLINK("https://electionmgmt.vermont.gov/TFA/DownLoadFinancialDisclosure?FileName=20220525120637_e451bf72-9408-425e-a66d-d98de3e00dc2.pdf", "20220525120637_e451bf72-9408-425e-a66d-d98de3e00dc2.pdf")</f>
        <v>20220525120637_e451bf72-9408-425e-a66d-d98de3e00dc2.pdf</v>
      </c>
      <c r="O135" s="3"/>
      <c r="P135" s="3"/>
      <c r="Q135" s="3"/>
      <c r="R135" s="3"/>
      <c r="S135" s="3"/>
      <c r="T135" s="3"/>
      <c r="U135" s="3"/>
      <c r="V135" s="3"/>
    </row>
    <row r="136" spans="1:22" ht="31.5" x14ac:dyDescent="0.5">
      <c r="A136" s="3" t="s">
        <v>14</v>
      </c>
      <c r="B136" s="3" t="s">
        <v>333</v>
      </c>
      <c r="C136" s="3" t="s">
        <v>334</v>
      </c>
      <c r="D136" s="3" t="s">
        <v>335</v>
      </c>
      <c r="E136" s="3" t="s">
        <v>76</v>
      </c>
      <c r="F136" s="3" t="s">
        <v>336</v>
      </c>
      <c r="G136" s="3" t="s">
        <v>335</v>
      </c>
      <c r="H136" s="3" t="s">
        <v>20</v>
      </c>
      <c r="I136" s="5" t="s">
        <v>312</v>
      </c>
      <c r="J136" s="3" t="s">
        <v>337</v>
      </c>
      <c r="K136" s="3" t="s">
        <v>337</v>
      </c>
      <c r="L136" s="3" t="s">
        <v>338</v>
      </c>
      <c r="M136" s="3" t="s">
        <v>23</v>
      </c>
      <c r="N136" s="16" t="s">
        <v>467</v>
      </c>
      <c r="O136" s="3"/>
      <c r="P136" s="3"/>
      <c r="Q136" s="3"/>
      <c r="R136" s="3"/>
      <c r="S136" s="3"/>
      <c r="T136" s="3"/>
      <c r="U136" s="3"/>
      <c r="V136" s="3"/>
    </row>
    <row r="137" spans="1:22" ht="31.5" x14ac:dyDescent="0.5">
      <c r="A137" s="3" t="s">
        <v>14</v>
      </c>
      <c r="B137" s="3" t="s">
        <v>1433</v>
      </c>
      <c r="C137" s="3" t="s">
        <v>1434</v>
      </c>
      <c r="D137" s="3" t="s">
        <v>1428</v>
      </c>
      <c r="E137" s="3" t="s">
        <v>18</v>
      </c>
      <c r="F137" s="3" t="s">
        <v>1435</v>
      </c>
      <c r="G137" s="3" t="s">
        <v>1428</v>
      </c>
      <c r="H137" s="3" t="s">
        <v>20</v>
      </c>
      <c r="I137" s="5" t="s">
        <v>1429</v>
      </c>
      <c r="J137" s="3" t="s">
        <v>1436</v>
      </c>
      <c r="K137" s="3" t="s">
        <v>1436</v>
      </c>
      <c r="L137" s="3" t="s">
        <v>1437</v>
      </c>
      <c r="M137" s="3" t="s">
        <v>23</v>
      </c>
      <c r="N137" s="16" t="str">
        <f>HYPERLINK("https://electionmgmt.vermont.gov/TFA/DownLoadFinancialDisclosure?FileName=Henry Pearl 2022 Financial Disclosure-Consent_5324a617-6ca3-4964-ac64-17a76dfd456f.pdf", "Henry Pearl 2022 Financial Disclosure-Consent_5324a617-6ca3-4964-ac64-17a76dfd456f.pdf")</f>
        <v>Henry Pearl 2022 Financial Disclosure-Consent_5324a617-6ca3-4964-ac64-17a76dfd456f.pdf</v>
      </c>
      <c r="O137" s="3"/>
      <c r="P137" s="3"/>
      <c r="Q137" s="3"/>
      <c r="R137" s="3"/>
      <c r="S137" s="3"/>
      <c r="T137" s="3"/>
      <c r="U137" s="3"/>
      <c r="V137" s="3"/>
    </row>
    <row r="138" spans="1:22" ht="31.5" x14ac:dyDescent="0.5">
      <c r="A138" s="3" t="s">
        <v>14</v>
      </c>
      <c r="B138" s="3" t="s">
        <v>987</v>
      </c>
      <c r="C138" s="3" t="s">
        <v>988</v>
      </c>
      <c r="D138" s="3" t="s">
        <v>529</v>
      </c>
      <c r="E138" s="3" t="s">
        <v>18</v>
      </c>
      <c r="F138" s="3" t="s">
        <v>1438</v>
      </c>
      <c r="G138" s="3" t="s">
        <v>529</v>
      </c>
      <c r="H138" s="3" t="s">
        <v>20</v>
      </c>
      <c r="I138" s="5" t="s">
        <v>530</v>
      </c>
      <c r="J138" s="3" t="s">
        <v>989</v>
      </c>
      <c r="K138" s="3" t="s">
        <v>23</v>
      </c>
      <c r="L138" s="3" t="s">
        <v>990</v>
      </c>
      <c r="M138" s="3" t="s">
        <v>991</v>
      </c>
      <c r="N138" s="16" t="str">
        <f>HYPERLINK("https://electionmgmt.vermont.gov/TFA/DownLoadFinancialDisclosure?FileName=JANA BROWN FINANCIAL DISCLOSURE_9fe11504-0eda-4b9e-b79d-d226fa7f0ed8.pdf", "JANA BROWN FINANCIAL DISCLOSURE_9fe11504-0eda-4b9e-b79d-d226fa7f0ed8.pdf")</f>
        <v>JANA BROWN FINANCIAL DISCLOSURE_9fe11504-0eda-4b9e-b79d-d226fa7f0ed8.pdf</v>
      </c>
      <c r="O138" s="3"/>
      <c r="P138" s="3"/>
      <c r="Q138" s="3"/>
      <c r="R138" s="3"/>
      <c r="S138" s="3"/>
      <c r="T138" s="3"/>
      <c r="U138" s="3"/>
      <c r="V138" s="3"/>
    </row>
    <row r="139" spans="1:22" ht="31.5" x14ac:dyDescent="0.5">
      <c r="A139" s="3" t="s">
        <v>14</v>
      </c>
      <c r="B139" s="3" t="s">
        <v>637</v>
      </c>
      <c r="C139" s="3" t="s">
        <v>998</v>
      </c>
      <c r="D139" s="3" t="s">
        <v>527</v>
      </c>
      <c r="E139" s="3" t="s">
        <v>18</v>
      </c>
      <c r="F139" s="3" t="s">
        <v>999</v>
      </c>
      <c r="G139" s="3" t="s">
        <v>527</v>
      </c>
      <c r="H139" s="3" t="s">
        <v>20</v>
      </c>
      <c r="I139" s="5" t="s">
        <v>640</v>
      </c>
      <c r="J139" s="3" t="s">
        <v>23</v>
      </c>
      <c r="K139" s="3" t="s">
        <v>23</v>
      </c>
      <c r="L139" s="3" t="s">
        <v>1000</v>
      </c>
      <c r="M139" s="3" t="s">
        <v>1001</v>
      </c>
      <c r="N139" s="16" t="str">
        <f>HYPERLINK("https://electionmgmt.vermont.gov/TFA/DownLoadFinancialDisclosure?FileName=ARSENAULT_FINANCIAL07654520220525141128_07db8dc6-dd10-45d1-814e-9ce07cbf4141.pdf", "ARSENAULT_FINANCIAL07654520220525141128_07db8dc6-dd10-45d1-814e-9ce07cbf4141.pdf")</f>
        <v>ARSENAULT_FINANCIAL07654520220525141128_07db8dc6-dd10-45d1-814e-9ce07cbf4141.pdf</v>
      </c>
      <c r="O139" s="3"/>
      <c r="P139" s="3"/>
      <c r="Q139" s="3"/>
      <c r="R139" s="3"/>
      <c r="S139" s="3"/>
      <c r="T139" s="3"/>
      <c r="U139" s="3"/>
      <c r="V139" s="3"/>
    </row>
    <row r="140" spans="1:22" ht="31.5" x14ac:dyDescent="0.5">
      <c r="A140" s="3" t="s">
        <v>14</v>
      </c>
      <c r="B140" s="3" t="s">
        <v>637</v>
      </c>
      <c r="C140" s="3" t="s">
        <v>638</v>
      </c>
      <c r="D140" s="3" t="s">
        <v>527</v>
      </c>
      <c r="E140" s="3" t="s">
        <v>18</v>
      </c>
      <c r="F140" s="3" t="s">
        <v>639</v>
      </c>
      <c r="G140" s="3" t="s">
        <v>527</v>
      </c>
      <c r="H140" s="3" t="s">
        <v>20</v>
      </c>
      <c r="I140" s="5" t="s">
        <v>640</v>
      </c>
      <c r="J140" s="3" t="s">
        <v>23</v>
      </c>
      <c r="K140" s="3" t="s">
        <v>23</v>
      </c>
      <c r="L140" s="3" t="s">
        <v>641</v>
      </c>
      <c r="M140" s="3" t="s">
        <v>642</v>
      </c>
      <c r="N140" s="16" t="str">
        <f>HYPERLINK("https://electionmgmt.vermont.gov/TFA/DownLoadFinancialDisclosure?FileName=doc07636320220523101004_b32bbc06-69c0-4ecc-8489-d141b6b1d78e.pdf", "doc07636320220523101004_b32bbc06-69c0-4ecc-8489-d141b6b1d78e.pdf")</f>
        <v>doc07636320220523101004_b32bbc06-69c0-4ecc-8489-d141b6b1d78e.pdf</v>
      </c>
      <c r="O140" s="3"/>
      <c r="P140" s="3"/>
      <c r="Q140" s="3"/>
      <c r="R140" s="3"/>
      <c r="S140" s="3"/>
      <c r="T140" s="3"/>
      <c r="U140" s="3"/>
      <c r="V140" s="3"/>
    </row>
    <row r="141" spans="1:22" ht="31.5" x14ac:dyDescent="0.5">
      <c r="A141" s="3" t="s">
        <v>14</v>
      </c>
      <c r="B141" s="3" t="s">
        <v>1019</v>
      </c>
      <c r="C141" s="3" t="s">
        <v>1020</v>
      </c>
      <c r="D141" s="3" t="s">
        <v>1021</v>
      </c>
      <c r="E141" s="3" t="s">
        <v>18</v>
      </c>
      <c r="F141" s="3" t="s">
        <v>1022</v>
      </c>
      <c r="G141" s="3" t="s">
        <v>1021</v>
      </c>
      <c r="H141" s="3" t="s">
        <v>20</v>
      </c>
      <c r="I141" s="5" t="s">
        <v>1023</v>
      </c>
      <c r="J141" s="3" t="s">
        <v>1024</v>
      </c>
      <c r="K141" s="3" t="s">
        <v>23</v>
      </c>
      <c r="L141" s="3" t="s">
        <v>1025</v>
      </c>
      <c r="M141" s="3" t="s">
        <v>23</v>
      </c>
      <c r="N141" s="16" t="str">
        <f>HYPERLINK("https://electionmgmt.vermont.gov/TFA/DownLoadFinancialDisclosure?FileName=EG_20220524171925_2957f307-12b3-4fca-a0df-305b09cf2fc7.pdf", "EG_20220524171925_2957f307-12b3-4fca-a0df-305b09cf2fc7.pdf")</f>
        <v>EG_20220524171925_2957f307-12b3-4fca-a0df-305b09cf2fc7.pdf</v>
      </c>
      <c r="O141" s="3"/>
      <c r="P141" s="3"/>
      <c r="Q141" s="3"/>
      <c r="R141" s="3"/>
      <c r="S141" s="3"/>
      <c r="T141" s="3"/>
      <c r="U141" s="3"/>
      <c r="V141" s="3"/>
    </row>
    <row r="142" spans="1:22" ht="31.5" x14ac:dyDescent="0.5">
      <c r="A142" s="3" t="s">
        <v>14</v>
      </c>
      <c r="B142" s="3" t="s">
        <v>1019</v>
      </c>
      <c r="C142" s="3" t="s">
        <v>1026</v>
      </c>
      <c r="D142" s="3" t="s">
        <v>1027</v>
      </c>
      <c r="E142" s="3" t="s">
        <v>18</v>
      </c>
      <c r="F142" s="3" t="s">
        <v>1028</v>
      </c>
      <c r="G142" s="3" t="s">
        <v>1027</v>
      </c>
      <c r="H142" s="3" t="s">
        <v>20</v>
      </c>
      <c r="I142" s="5" t="s">
        <v>1029</v>
      </c>
      <c r="J142" s="3" t="s">
        <v>1030</v>
      </c>
      <c r="K142" s="3" t="s">
        <v>23</v>
      </c>
      <c r="L142" s="3" t="s">
        <v>1031</v>
      </c>
      <c r="M142" s="3" t="s">
        <v>23</v>
      </c>
      <c r="N142" s="16" t="str">
        <f>HYPERLINK("https://electionmgmt.vermont.gov/TFA/DownLoadFinancialDisclosure?FileName=TS_20220524171230_d93664c4-522f-496d-b08a-6ab4b1ddc99a.pdf", "TS_20220524171230_d93664c4-522f-496d-b08a-6ab4b1ddc99a.pdf")</f>
        <v>TS_20220524171230_d93664c4-522f-496d-b08a-6ab4b1ddc99a.pdf</v>
      </c>
      <c r="O142" s="3"/>
      <c r="P142" s="3"/>
      <c r="Q142" s="3"/>
      <c r="R142" s="3"/>
      <c r="S142" s="3"/>
      <c r="T142" s="3"/>
      <c r="U142" s="3"/>
      <c r="V142" s="3"/>
    </row>
    <row r="143" spans="1:22" ht="31.5" x14ac:dyDescent="0.5">
      <c r="A143" s="3" t="s">
        <v>14</v>
      </c>
      <c r="B143" s="3" t="s">
        <v>1506</v>
      </c>
      <c r="C143" s="3" t="s">
        <v>1507</v>
      </c>
      <c r="D143" s="3" t="s">
        <v>894</v>
      </c>
      <c r="E143" s="3" t="s">
        <v>18</v>
      </c>
      <c r="F143" s="3" t="s">
        <v>1508</v>
      </c>
      <c r="G143" s="3" t="s">
        <v>894</v>
      </c>
      <c r="H143" s="3" t="s">
        <v>20</v>
      </c>
      <c r="I143" s="5" t="s">
        <v>895</v>
      </c>
      <c r="J143" s="3" t="s">
        <v>1509</v>
      </c>
      <c r="K143" s="3" t="s">
        <v>23</v>
      </c>
      <c r="L143" s="3" t="s">
        <v>1510</v>
      </c>
      <c r="M143" s="3" t="s">
        <v>1511</v>
      </c>
      <c r="N143" s="16" t="str">
        <f>HYPERLINK("https://electionmgmt.vermont.gov/TFA/DownLoadFinancialDisclosure?FileName=Deeley financial disclosure 2022_80eb231f-0dc3-45c0-bb39-3a37ee8de034.pdf", "Deeley financial disclosure 2022_80eb231f-0dc3-45c0-bb39-3a37ee8de034.pdf")</f>
        <v>Deeley financial disclosure 2022_80eb231f-0dc3-45c0-bb39-3a37ee8de034.pdf</v>
      </c>
      <c r="O143" s="3"/>
      <c r="P143" s="3"/>
      <c r="Q143" s="3"/>
      <c r="R143" s="3"/>
      <c r="S143" s="3"/>
      <c r="T143" s="3"/>
      <c r="U143" s="3"/>
      <c r="V143" s="3"/>
    </row>
    <row r="144" spans="1:22" ht="31.5" x14ac:dyDescent="0.5">
      <c r="A144" s="3" t="s">
        <v>14</v>
      </c>
      <c r="B144" s="3" t="s">
        <v>1506</v>
      </c>
      <c r="C144" s="3" t="s">
        <v>1512</v>
      </c>
      <c r="D144" s="3" t="s">
        <v>894</v>
      </c>
      <c r="E144" s="3" t="s">
        <v>18</v>
      </c>
      <c r="F144" s="3" t="s">
        <v>1513</v>
      </c>
      <c r="G144" s="3" t="s">
        <v>894</v>
      </c>
      <c r="H144" s="3" t="s">
        <v>20</v>
      </c>
      <c r="I144" s="5" t="s">
        <v>895</v>
      </c>
      <c r="J144" s="3" t="s">
        <v>1514</v>
      </c>
      <c r="K144" s="3" t="s">
        <v>23</v>
      </c>
      <c r="L144" s="3" t="s">
        <v>1515</v>
      </c>
      <c r="M144" s="3" t="s">
        <v>23</v>
      </c>
      <c r="N144" s="16" t="str">
        <f>HYPERLINK("https://electionmgmt.vermont.gov/TFA/DownLoadFinancialDisclosure?FileName=Pouech financial disclosure 2022_0d32557d-da65-4c2b-a160-e3a24b58dd5f.pdf", "Pouech financial disclosure 2022_0d32557d-da65-4c2b-a160-e3a24b58dd5f.pdf")</f>
        <v>Pouech financial disclosure 2022_0d32557d-da65-4c2b-a160-e3a24b58dd5f.pdf</v>
      </c>
      <c r="O144" s="3"/>
      <c r="P144" s="3"/>
      <c r="Q144" s="3"/>
      <c r="R144" s="3"/>
      <c r="S144" s="3"/>
      <c r="T144" s="3"/>
      <c r="U144" s="3"/>
      <c r="V144" s="3"/>
    </row>
    <row r="145" spans="1:22" ht="31.5" x14ac:dyDescent="0.5">
      <c r="A145" s="3" t="s">
        <v>14</v>
      </c>
      <c r="B145" s="3" t="s">
        <v>1506</v>
      </c>
      <c r="C145" s="3" t="s">
        <v>1732</v>
      </c>
      <c r="D145" s="3" t="s">
        <v>894</v>
      </c>
      <c r="E145" s="3" t="s">
        <v>76</v>
      </c>
      <c r="F145" s="3" t="s">
        <v>1733</v>
      </c>
      <c r="G145" s="3" t="s">
        <v>894</v>
      </c>
      <c r="H145" s="3" t="s">
        <v>20</v>
      </c>
      <c r="I145" s="5" t="s">
        <v>895</v>
      </c>
      <c r="J145" s="3" t="s">
        <v>1734</v>
      </c>
      <c r="K145" s="3" t="s">
        <v>23</v>
      </c>
      <c r="L145" s="3" t="s">
        <v>1735</v>
      </c>
      <c r="M145" s="3"/>
      <c r="N145" s="16" t="str">
        <f>HYPERLINK("https://electionmgmt.vermont.gov/TFA/DownLoadFinancialDisclosure?FileName=Toscano financial disclosure 2022_47fc4b5e-a251-4b34-8b3f-30ecb85ad08b.pdf", "Toscano financial disclosure 2022_47fc4b5e-a251-4b34-8b3f-30ecb85ad08b.pdf")</f>
        <v>Toscano financial disclosure 2022_47fc4b5e-a251-4b34-8b3f-30ecb85ad08b.pdf</v>
      </c>
      <c r="O145" s="3"/>
      <c r="P145" s="3"/>
      <c r="Q145" s="3"/>
      <c r="R145" s="3"/>
      <c r="S145" s="3"/>
      <c r="T145" s="3"/>
      <c r="U145" s="3"/>
      <c r="V145" s="3"/>
    </row>
    <row r="146" spans="1:22" ht="31.5" x14ac:dyDescent="0.5">
      <c r="A146" s="3" t="s">
        <v>14</v>
      </c>
      <c r="B146" s="3" t="s">
        <v>539</v>
      </c>
      <c r="C146" s="3" t="s">
        <v>1516</v>
      </c>
      <c r="D146" s="3" t="s">
        <v>541</v>
      </c>
      <c r="E146" s="3" t="s">
        <v>18</v>
      </c>
      <c r="F146" s="3" t="s">
        <v>1517</v>
      </c>
      <c r="G146" s="3" t="s">
        <v>541</v>
      </c>
      <c r="H146" s="3" t="s">
        <v>20</v>
      </c>
      <c r="I146" s="5" t="s">
        <v>543</v>
      </c>
      <c r="J146" s="3" t="s">
        <v>23</v>
      </c>
      <c r="K146" s="3" t="s">
        <v>23</v>
      </c>
      <c r="L146" s="3" t="s">
        <v>23</v>
      </c>
      <c r="M146" s="3" t="s">
        <v>23</v>
      </c>
      <c r="N146" s="16" t="str">
        <f>HYPERLINK("https://electionmgmt.vermont.gov/TFA/DownLoadFinancialDisclosure?FileName=Chea Evans Financial Disclosure_45f73b3d-7838-417b-8fde-07db2d6a394c.pdf", "Chea Evans Financial Disclosure_45f73b3d-7838-417b-8fde-07db2d6a394c.pdf")</f>
        <v>Chea Evans Financial Disclosure_45f73b3d-7838-417b-8fde-07db2d6a394c.pdf</v>
      </c>
      <c r="O146" s="3"/>
      <c r="P146" s="3"/>
      <c r="Q146" s="3"/>
      <c r="R146" s="3"/>
      <c r="S146" s="3"/>
      <c r="T146" s="3"/>
      <c r="U146" s="3"/>
      <c r="V146" s="3"/>
    </row>
    <row r="147" spans="1:22" ht="31.5" x14ac:dyDescent="0.5">
      <c r="A147" s="3" t="s">
        <v>14</v>
      </c>
      <c r="B147" s="3" t="s">
        <v>539</v>
      </c>
      <c r="C147" s="3" t="s">
        <v>540</v>
      </c>
      <c r="D147" s="3" t="s">
        <v>541</v>
      </c>
      <c r="E147" s="3" t="s">
        <v>18</v>
      </c>
      <c r="F147" s="3" t="s">
        <v>542</v>
      </c>
      <c r="G147" s="3" t="s">
        <v>541</v>
      </c>
      <c r="H147" s="3" t="s">
        <v>20</v>
      </c>
      <c r="I147" s="5" t="s">
        <v>543</v>
      </c>
      <c r="J147" s="3" t="s">
        <v>2215</v>
      </c>
      <c r="K147" s="3" t="s">
        <v>23</v>
      </c>
      <c r="L147" s="3" t="s">
        <v>2213</v>
      </c>
      <c r="M147" s="3" t="s">
        <v>2214</v>
      </c>
      <c r="N147" s="16" t="str">
        <f>HYPERLINK("https://electionmgmt.vermont.gov/TFA/DownLoadFinancialDisclosure?FileName=Yantachka Financial Disclosure_46e8f78d-3f59-4356-a4d9-03cf3ed0a03c.pdf", "Yantachka Financial Disclosure_46e8f78d-3f59-4356-a4d9-03cf3ed0a03c.pdf")</f>
        <v>Yantachka Financial Disclosure_46e8f78d-3f59-4356-a4d9-03cf3ed0a03c.pdf</v>
      </c>
      <c r="O147" s="3"/>
      <c r="P147" s="3"/>
      <c r="Q147" s="3"/>
      <c r="R147" s="3"/>
      <c r="S147" s="3"/>
      <c r="T147" s="3"/>
      <c r="U147" s="3"/>
      <c r="V147" s="3"/>
    </row>
    <row r="148" spans="1:22" ht="31.5" x14ac:dyDescent="0.5">
      <c r="A148" s="3" t="s">
        <v>14</v>
      </c>
      <c r="B148" s="3" t="s">
        <v>826</v>
      </c>
      <c r="C148" s="3" t="s">
        <v>827</v>
      </c>
      <c r="D148" s="3" t="s">
        <v>828</v>
      </c>
      <c r="E148" s="3" t="s">
        <v>18</v>
      </c>
      <c r="F148" s="3" t="s">
        <v>829</v>
      </c>
      <c r="G148" s="3" t="s">
        <v>828</v>
      </c>
      <c r="H148" s="3" t="s">
        <v>20</v>
      </c>
      <c r="I148" s="5" t="s">
        <v>830</v>
      </c>
      <c r="J148" s="3" t="s">
        <v>831</v>
      </c>
      <c r="K148" s="3" t="s">
        <v>831</v>
      </c>
      <c r="L148" s="3" t="s">
        <v>832</v>
      </c>
      <c r="M148" s="3"/>
      <c r="N148" s="16" t="str">
        <f>HYPERLINK("https://electionmgmt.vermont.gov/TFA/DownLoadFinancialDisclosure?FileName=Lalley Financial Disclosure 2022_d42d9d2c-f66e-4457-b5da-0efb66608e3d.pdf", "Lalley Financial Disclosure 2022_d42d9d2c-f66e-4457-b5da-0efb66608e3d.pdf")</f>
        <v>Lalley Financial Disclosure 2022_d42d9d2c-f66e-4457-b5da-0efb66608e3d.pdf</v>
      </c>
      <c r="O148" s="3"/>
      <c r="P148" s="3"/>
      <c r="Q148" s="3"/>
      <c r="R148" s="3"/>
      <c r="S148" s="3"/>
      <c r="T148" s="3"/>
      <c r="U148" s="3"/>
      <c r="V148" s="3"/>
    </row>
    <row r="149" spans="1:22" ht="31.5" x14ac:dyDescent="0.5">
      <c r="A149" s="3" t="s">
        <v>14</v>
      </c>
      <c r="B149" s="3" t="s">
        <v>1032</v>
      </c>
      <c r="C149" s="3" t="s">
        <v>1033</v>
      </c>
      <c r="D149" s="3" t="s">
        <v>828</v>
      </c>
      <c r="E149" s="3" t="s">
        <v>18</v>
      </c>
      <c r="F149" s="3" t="s">
        <v>1034</v>
      </c>
      <c r="G149" s="3" t="s">
        <v>828</v>
      </c>
      <c r="H149" s="3" t="s">
        <v>20</v>
      </c>
      <c r="I149" s="5" t="s">
        <v>830</v>
      </c>
      <c r="J149" s="3" t="s">
        <v>1035</v>
      </c>
      <c r="K149" s="3" t="s">
        <v>1035</v>
      </c>
      <c r="L149" s="3" t="s">
        <v>1036</v>
      </c>
      <c r="M149" s="3"/>
      <c r="N149" s="16" t="str">
        <f>HYPERLINK("https://electionmgmt.vermont.gov/TFA/DownLoadFinancialDisclosure?FileName=20220525113500_69fc2349-b2ec-4436-9961-8262897186d7.pdf", "20220525113500_69fc2349-b2ec-4436-9961-8262897186d7.pdf")</f>
        <v>20220525113500_69fc2349-b2ec-4436-9961-8262897186d7.pdf</v>
      </c>
      <c r="O149" s="3"/>
      <c r="P149" s="3"/>
      <c r="Q149" s="3"/>
      <c r="R149" s="3"/>
      <c r="S149" s="3"/>
      <c r="T149" s="3"/>
      <c r="U149" s="3"/>
      <c r="V149" s="3"/>
    </row>
    <row r="150" spans="1:22" ht="31.5" x14ac:dyDescent="0.5">
      <c r="A150" s="3" t="s">
        <v>14</v>
      </c>
      <c r="B150" s="3" t="s">
        <v>1518</v>
      </c>
      <c r="C150" s="3" t="s">
        <v>1519</v>
      </c>
      <c r="D150" s="3" t="s">
        <v>40</v>
      </c>
      <c r="E150" s="3" t="s">
        <v>18</v>
      </c>
      <c r="F150" s="3" t="s">
        <v>1520</v>
      </c>
      <c r="G150" s="3" t="s">
        <v>40</v>
      </c>
      <c r="H150" s="3" t="s">
        <v>20</v>
      </c>
      <c r="I150" s="5" t="s">
        <v>42</v>
      </c>
      <c r="J150" s="3" t="s">
        <v>1521</v>
      </c>
      <c r="K150" s="3" t="s">
        <v>1521</v>
      </c>
      <c r="L150" s="3" t="s">
        <v>1522</v>
      </c>
      <c r="M150" s="3" t="s">
        <v>23</v>
      </c>
      <c r="N150" s="16" t="str">
        <f>HYPERLINK("https://electionmgmt.vermont.gov/TFA/DownLoadFinancialDisclosure?FileName=hyman campaign_9b14b944-4868-4f20-b81a-09cbfe345225.pdf", "hyman campaign_9b14b944-4868-4f20-b81a-09cbfe345225.pdf")</f>
        <v>hyman campaign_9b14b944-4868-4f20-b81a-09cbfe345225.pdf</v>
      </c>
      <c r="O150" s="3"/>
      <c r="P150" s="3"/>
      <c r="Q150" s="3"/>
      <c r="R150" s="3"/>
      <c r="S150" s="3"/>
      <c r="T150" s="3"/>
      <c r="U150" s="3"/>
      <c r="V150" s="3"/>
    </row>
    <row r="151" spans="1:22" ht="31.5" x14ac:dyDescent="0.5">
      <c r="A151" s="3" t="s">
        <v>14</v>
      </c>
      <c r="B151" s="3" t="s">
        <v>1523</v>
      </c>
      <c r="C151" s="3" t="s">
        <v>1524</v>
      </c>
      <c r="D151" s="3" t="s">
        <v>40</v>
      </c>
      <c r="E151" s="3" t="s">
        <v>18</v>
      </c>
      <c r="F151" s="3" t="s">
        <v>1525</v>
      </c>
      <c r="G151" s="3" t="s">
        <v>40</v>
      </c>
      <c r="H151" s="3" t="s">
        <v>20</v>
      </c>
      <c r="I151" s="5" t="s">
        <v>1526</v>
      </c>
      <c r="J151" s="3" t="s">
        <v>1527</v>
      </c>
      <c r="K151" s="3" t="s">
        <v>1527</v>
      </c>
      <c r="L151" s="3" t="s">
        <v>1528</v>
      </c>
      <c r="M151" s="3" t="s">
        <v>1529</v>
      </c>
      <c r="N151" s="16" t="str">
        <f>HYPERLINK("https://electionmgmt.vermont.gov/TFA/DownLoadFinancialDisclosure?FileName=krasnow campaign_80bb5869-bc84-47f7-854f-7ecf0a9be7f8.pdf", "krasnow campaign_80bb5869-bc84-47f7-854f-7ecf0a9be7f8.pdf")</f>
        <v>krasnow campaign_80bb5869-bc84-47f7-854f-7ecf0a9be7f8.pdf</v>
      </c>
      <c r="O151" s="3"/>
      <c r="P151" s="3"/>
      <c r="Q151" s="3"/>
      <c r="R151" s="3"/>
      <c r="S151" s="3"/>
      <c r="T151" s="3"/>
      <c r="U151" s="3"/>
      <c r="V151" s="3"/>
    </row>
    <row r="152" spans="1:22" ht="31.5" x14ac:dyDescent="0.5">
      <c r="A152" s="3" t="s">
        <v>14</v>
      </c>
      <c r="B152" s="3" t="s">
        <v>1439</v>
      </c>
      <c r="C152" s="3" t="s">
        <v>1440</v>
      </c>
      <c r="D152" s="3" t="s">
        <v>40</v>
      </c>
      <c r="E152" s="3" t="s">
        <v>18</v>
      </c>
      <c r="F152" s="3" t="s">
        <v>1441</v>
      </c>
      <c r="G152" s="3" t="s">
        <v>40</v>
      </c>
      <c r="H152" s="3" t="s">
        <v>20</v>
      </c>
      <c r="I152" s="5" t="s">
        <v>42</v>
      </c>
      <c r="J152" s="3" t="s">
        <v>1442</v>
      </c>
      <c r="K152" s="3" t="s">
        <v>1442</v>
      </c>
      <c r="L152" s="3" t="s">
        <v>1443</v>
      </c>
      <c r="M152" s="3" t="s">
        <v>23</v>
      </c>
      <c r="N152" s="16" t="str">
        <f>HYPERLINK("https://electionmgmt.vermont.gov/TFA/DownLoadFinancialDisclosure?FileName=nugentcampaign_de8e5035-9a9e-44a7-8dd2-3afea3717b82.pdf", "nugentcampaign_de8e5035-9a9e-44a7-8dd2-3afea3717b82.pdf")</f>
        <v>nugentcampaign_de8e5035-9a9e-44a7-8dd2-3afea3717b82.pdf</v>
      </c>
      <c r="O152" s="3"/>
      <c r="P152" s="3"/>
      <c r="Q152" s="3"/>
      <c r="R152" s="3"/>
      <c r="S152" s="3"/>
      <c r="T152" s="3"/>
      <c r="U152" s="3"/>
      <c r="V152" s="3"/>
    </row>
    <row r="153" spans="1:22" ht="31.5" x14ac:dyDescent="0.5">
      <c r="A153" s="3" t="s">
        <v>14</v>
      </c>
      <c r="B153" s="3" t="s">
        <v>1444</v>
      </c>
      <c r="C153" s="3" t="s">
        <v>1445</v>
      </c>
      <c r="D153" s="3" t="s">
        <v>40</v>
      </c>
      <c r="E153" s="3" t="s">
        <v>18</v>
      </c>
      <c r="F153" s="3" t="s">
        <v>1446</v>
      </c>
      <c r="G153" s="3" t="s">
        <v>40</v>
      </c>
      <c r="H153" s="3" t="s">
        <v>20</v>
      </c>
      <c r="I153" s="5" t="s">
        <v>42</v>
      </c>
      <c r="J153" s="3" t="s">
        <v>1447</v>
      </c>
      <c r="K153" s="3" t="s">
        <v>1447</v>
      </c>
      <c r="L153" s="3" t="s">
        <v>1448</v>
      </c>
      <c r="M153" s="3" t="s">
        <v>2206</v>
      </c>
      <c r="N153" s="16" t="str">
        <f>HYPERLINK("https://electionmgmt.vermont.gov/TFA/DownLoadFinancialDisclosure?FileName=minier campaign_fe436d85-994d-43aa-b887-1fcc715fe650.pdf", "minier campaign_fe436d85-994d-43aa-b887-1fcc715fe650.pdf")</f>
        <v>minier campaign_fe436d85-994d-43aa-b887-1fcc715fe650.pdf</v>
      </c>
      <c r="O153" s="3"/>
      <c r="P153" s="3"/>
      <c r="Q153" s="3"/>
      <c r="R153" s="3"/>
      <c r="S153" s="3"/>
      <c r="T153" s="3"/>
      <c r="U153" s="3"/>
      <c r="V153" s="3"/>
    </row>
    <row r="154" spans="1:22" ht="31.5" x14ac:dyDescent="0.5">
      <c r="A154" s="3" t="s">
        <v>14</v>
      </c>
      <c r="B154" s="3" t="s">
        <v>102</v>
      </c>
      <c r="C154" s="3" t="s">
        <v>103</v>
      </c>
      <c r="D154" s="3" t="s">
        <v>40</v>
      </c>
      <c r="E154" s="3" t="s">
        <v>18</v>
      </c>
      <c r="F154" s="3" t="s">
        <v>104</v>
      </c>
      <c r="G154" s="3" t="s">
        <v>40</v>
      </c>
      <c r="H154" s="3" t="s">
        <v>20</v>
      </c>
      <c r="I154" s="5" t="s">
        <v>42</v>
      </c>
      <c r="J154" s="3" t="s">
        <v>105</v>
      </c>
      <c r="K154" s="3" t="s">
        <v>105</v>
      </c>
      <c r="L154" s="3" t="s">
        <v>106</v>
      </c>
      <c r="M154" s="3" t="s">
        <v>107</v>
      </c>
      <c r="N154" s="16" t="str">
        <f>HYPERLINK("https://electionmgmt.vermont.gov/TFA/DownLoadFinancialDisclosure?FileName=candidate financial filing_203e2278-d580-4018-ac07-111a9471e7be.pdf", "candidate financial filing_203e2278-d580-4018-ac07-111a9471e7be.pdf")</f>
        <v>candidate financial filing_203e2278-d580-4018-ac07-111a9471e7be.pdf</v>
      </c>
      <c r="O154" s="3"/>
      <c r="P154" s="3"/>
      <c r="Q154" s="3"/>
      <c r="R154" s="3"/>
      <c r="S154" s="3"/>
      <c r="T154" s="3"/>
      <c r="U154" s="3"/>
      <c r="V154" s="3"/>
    </row>
    <row r="155" spans="1:22" ht="31.5" x14ac:dyDescent="0.5">
      <c r="A155" s="3" t="s">
        <v>14</v>
      </c>
      <c r="B155" s="3" t="s">
        <v>815</v>
      </c>
      <c r="C155" s="3" t="s">
        <v>816</v>
      </c>
      <c r="D155" s="3" t="s">
        <v>46</v>
      </c>
      <c r="E155" s="3" t="s">
        <v>18</v>
      </c>
      <c r="F155" s="3" t="s">
        <v>817</v>
      </c>
      <c r="G155" s="3" t="s">
        <v>46</v>
      </c>
      <c r="H155" s="3" t="s">
        <v>20</v>
      </c>
      <c r="I155" s="5" t="s">
        <v>359</v>
      </c>
      <c r="J155" s="3" t="s">
        <v>818</v>
      </c>
      <c r="K155" s="3" t="s">
        <v>23</v>
      </c>
      <c r="L155" s="3" t="s">
        <v>819</v>
      </c>
      <c r="M155" s="3" t="s">
        <v>820</v>
      </c>
      <c r="N155" s="16" t="str">
        <f>HYPERLINK("https://electionmgmt.vermont.gov/TFA/DownLoadFinancialDisclosure?FileName=Tiff Bluemle Financial Disclosure_ee4220ef-da7a-49e2-a65d-c2398bcb27e0.pdf", "Tiff Bluemle Financial Disclosure_ee4220ef-da7a-49e2-a65d-c2398bcb27e0.pdf")</f>
        <v>Tiff Bluemle Financial Disclosure_ee4220ef-da7a-49e2-a65d-c2398bcb27e0.pdf</v>
      </c>
      <c r="O155" s="3"/>
      <c r="P155" s="3"/>
      <c r="Q155" s="3"/>
      <c r="R155" s="3"/>
      <c r="S155" s="3"/>
      <c r="T155" s="3"/>
      <c r="U155" s="3"/>
      <c r="V155" s="3"/>
    </row>
    <row r="156" spans="1:22" ht="31.5" x14ac:dyDescent="0.5">
      <c r="A156" s="3" t="s">
        <v>14</v>
      </c>
      <c r="B156" s="3" t="s">
        <v>815</v>
      </c>
      <c r="C156" s="3" t="s">
        <v>821</v>
      </c>
      <c r="D156" s="3" t="s">
        <v>46</v>
      </c>
      <c r="E156" s="3" t="s">
        <v>18</v>
      </c>
      <c r="F156" s="3" t="s">
        <v>822</v>
      </c>
      <c r="G156" s="3" t="s">
        <v>46</v>
      </c>
      <c r="H156" s="3" t="s">
        <v>20</v>
      </c>
      <c r="I156" s="5" t="s">
        <v>502</v>
      </c>
      <c r="J156" s="3" t="s">
        <v>823</v>
      </c>
      <c r="K156" s="3" t="s">
        <v>23</v>
      </c>
      <c r="L156" s="3" t="s">
        <v>824</v>
      </c>
      <c r="M156" s="3" t="s">
        <v>825</v>
      </c>
      <c r="N156" s="16" t="str">
        <f>HYPERLINK("https://electionmgmt.vermont.gov/TFA/DownLoadFinancialDisclosure?FileName=Gabriell Stebbins Financial Disclosure_078a6e4d-bcbf-4d6c-bbc7-cd35125bcc13.pdf", "Gabriell Stebbins Financial Disclosure_078a6e4d-bcbf-4d6c-bbc7-cd35125bcc13.pdf")</f>
        <v>Gabriell Stebbins Financial Disclosure_078a6e4d-bcbf-4d6c-bbc7-cd35125bcc13.pdf</v>
      </c>
      <c r="O156" s="3"/>
      <c r="P156" s="3"/>
      <c r="Q156" s="3"/>
      <c r="R156" s="3"/>
      <c r="S156" s="3"/>
      <c r="T156" s="3"/>
      <c r="U156" s="3"/>
      <c r="V156" s="3"/>
    </row>
    <row r="157" spans="1:22" ht="31.5" x14ac:dyDescent="0.5">
      <c r="A157" s="3" t="s">
        <v>14</v>
      </c>
      <c r="B157" s="3" t="s">
        <v>1449</v>
      </c>
      <c r="C157" s="3" t="s">
        <v>1450</v>
      </c>
      <c r="D157" s="3" t="s">
        <v>46</v>
      </c>
      <c r="E157" s="3" t="s">
        <v>18</v>
      </c>
      <c r="F157" s="3" t="s">
        <v>1451</v>
      </c>
      <c r="G157" s="3" t="s">
        <v>46</v>
      </c>
      <c r="H157" s="3" t="s">
        <v>20</v>
      </c>
      <c r="I157" s="5" t="s">
        <v>359</v>
      </c>
      <c r="J157" s="3" t="s">
        <v>1452</v>
      </c>
      <c r="K157" s="3" t="s">
        <v>23</v>
      </c>
      <c r="L157" s="3" t="s">
        <v>1453</v>
      </c>
      <c r="M157" s="3" t="s">
        <v>1454</v>
      </c>
      <c r="N157" s="16" t="str">
        <f>HYPERLINK("https://electionmgmt.vermont.gov/TFA/DownLoadFinancialDisclosure?FileName=Barbara Rachelson Financial Disclosure_c0b3861b-18ff-48fc-8607-e030006c4be3.pdf", "Barbara Rachelson Financial Disclosure_c0b3861b-18ff-48fc-8607-e030006c4be3.pdf")</f>
        <v>Barbara Rachelson Financial Disclosure_c0b3861b-18ff-48fc-8607-e030006c4be3.pdf</v>
      </c>
      <c r="O157" s="3"/>
      <c r="P157" s="3"/>
      <c r="Q157" s="3"/>
      <c r="R157" s="3"/>
      <c r="S157" s="3"/>
      <c r="T157" s="3"/>
      <c r="U157" s="3"/>
      <c r="V157" s="3"/>
    </row>
    <row r="158" spans="1:22" ht="31.5" x14ac:dyDescent="0.5">
      <c r="A158" s="3" t="s">
        <v>14</v>
      </c>
      <c r="B158" s="3" t="s">
        <v>1449</v>
      </c>
      <c r="C158" s="3" t="s">
        <v>1455</v>
      </c>
      <c r="D158" s="3" t="s">
        <v>46</v>
      </c>
      <c r="E158" s="3" t="s">
        <v>18</v>
      </c>
      <c r="F158" s="3" t="s">
        <v>1456</v>
      </c>
      <c r="G158" s="3" t="s">
        <v>46</v>
      </c>
      <c r="H158" s="3" t="s">
        <v>20</v>
      </c>
      <c r="I158" s="5" t="s">
        <v>359</v>
      </c>
      <c r="J158" s="3" t="s">
        <v>1457</v>
      </c>
      <c r="K158" s="3" t="s">
        <v>23</v>
      </c>
      <c r="L158" s="3" t="s">
        <v>1458</v>
      </c>
      <c r="M158" s="3" t="s">
        <v>1459</v>
      </c>
      <c r="N158" s="16" t="str">
        <f>HYPERLINK("https://electionmgmt.vermont.gov/TFA/DownLoadFinancialDisclosure?FileName=Mary-Katherine Stone Financial Disclosure_4c260cae-0368-4383-b681-38f310f765e1.pdf", "Mary-Katherine Stone Financial Disclosure_4c260cae-0368-4383-b681-38f310f765e1.pdf")</f>
        <v>Mary-Katherine Stone Financial Disclosure_4c260cae-0368-4383-b681-38f310f765e1.pdf</v>
      </c>
      <c r="O158" s="3"/>
      <c r="P158" s="3"/>
      <c r="Q158" s="3"/>
      <c r="R158" s="3"/>
      <c r="S158" s="3"/>
      <c r="T158" s="3"/>
      <c r="U158" s="3"/>
      <c r="V158" s="3"/>
    </row>
    <row r="159" spans="1:22" ht="31.5" x14ac:dyDescent="0.5">
      <c r="A159" s="3" t="s">
        <v>14</v>
      </c>
      <c r="B159" s="3" t="s">
        <v>992</v>
      </c>
      <c r="C159" s="3" t="s">
        <v>1460</v>
      </c>
      <c r="D159" s="3" t="s">
        <v>46</v>
      </c>
      <c r="E159" s="3" t="s">
        <v>18</v>
      </c>
      <c r="F159" s="3" t="s">
        <v>1461</v>
      </c>
      <c r="G159" s="3" t="s">
        <v>46</v>
      </c>
      <c r="H159" s="3" t="s">
        <v>20</v>
      </c>
      <c r="I159" s="5" t="s">
        <v>359</v>
      </c>
      <c r="J159" s="3" t="s">
        <v>1462</v>
      </c>
      <c r="K159" s="3" t="s">
        <v>23</v>
      </c>
      <c r="L159" s="3" t="s">
        <v>1463</v>
      </c>
      <c r="M159" s="3" t="s">
        <v>1464</v>
      </c>
      <c r="N159" s="16" t="str">
        <f>HYPERLINK("https://electionmgmt.vermont.gov/TFA/DownLoadFinancialDisclosure?FileName=Brian Cina Financial Disclosure_51b0ea65-826b-4a06-95ee-f3ae537e7496.pdf", "Brian Cina Financial Disclosure_51b0ea65-826b-4a06-95ee-f3ae537e7496.pdf")</f>
        <v>Brian Cina Financial Disclosure_51b0ea65-826b-4a06-95ee-f3ae537e7496.pdf</v>
      </c>
      <c r="O159" s="3"/>
      <c r="P159" s="3"/>
      <c r="Q159" s="3"/>
      <c r="R159" s="3"/>
      <c r="S159" s="3"/>
      <c r="T159" s="3"/>
      <c r="U159" s="3"/>
      <c r="V159" s="3"/>
    </row>
    <row r="160" spans="1:22" ht="31.5" x14ac:dyDescent="0.5">
      <c r="A160" s="3" t="s">
        <v>14</v>
      </c>
      <c r="B160" s="3" t="s">
        <v>992</v>
      </c>
      <c r="C160" s="3" t="s">
        <v>993</v>
      </c>
      <c r="D160" s="3" t="s">
        <v>46</v>
      </c>
      <c r="E160" s="3" t="s">
        <v>18</v>
      </c>
      <c r="F160" s="3" t="s">
        <v>994</v>
      </c>
      <c r="G160" s="3" t="s">
        <v>46</v>
      </c>
      <c r="H160" s="3" t="s">
        <v>20</v>
      </c>
      <c r="I160" s="5" t="s">
        <v>359</v>
      </c>
      <c r="J160" s="3" t="s">
        <v>995</v>
      </c>
      <c r="K160" s="3" t="s">
        <v>23</v>
      </c>
      <c r="L160" s="3" t="s">
        <v>996</v>
      </c>
      <c r="M160" s="3" t="s">
        <v>997</v>
      </c>
      <c r="N160" s="16" t="str">
        <f>HYPERLINK("https://electionmgmt.vermont.gov/TFA/DownLoadFinancialDisclosure?FileName=Troy Headrick Financial Disclosure_362b0fe4-4c84-46a1-8ea5-0134a09a0353.pdf", "Troy Headrick Financial Disclosure_362b0fe4-4c84-46a1-8ea5-0134a09a0353.pdf")</f>
        <v>Troy Headrick Financial Disclosure_362b0fe4-4c84-46a1-8ea5-0134a09a0353.pdf</v>
      </c>
      <c r="O160" s="3"/>
      <c r="P160" s="3"/>
      <c r="Q160" s="3"/>
      <c r="R160" s="3"/>
      <c r="S160" s="3"/>
      <c r="T160" s="3"/>
      <c r="U160" s="3"/>
      <c r="V160" s="3"/>
    </row>
    <row r="161" spans="1:22" ht="31.5" x14ac:dyDescent="0.5">
      <c r="A161" s="3" t="s">
        <v>14</v>
      </c>
      <c r="B161" s="3" t="s">
        <v>1465</v>
      </c>
      <c r="C161" s="3" t="s">
        <v>1466</v>
      </c>
      <c r="D161" s="3" t="s">
        <v>46</v>
      </c>
      <c r="E161" s="3" t="s">
        <v>18</v>
      </c>
      <c r="F161" s="3" t="s">
        <v>1467</v>
      </c>
      <c r="G161" s="3" t="s">
        <v>46</v>
      </c>
      <c r="H161" s="3" t="s">
        <v>20</v>
      </c>
      <c r="I161" s="5" t="s">
        <v>359</v>
      </c>
      <c r="J161" s="3" t="s">
        <v>1468</v>
      </c>
      <c r="K161" s="3" t="s">
        <v>23</v>
      </c>
      <c r="L161" s="3" t="s">
        <v>2179</v>
      </c>
      <c r="M161" s="3" t="s">
        <v>2218</v>
      </c>
      <c r="N161" s="16" t="str">
        <f>HYPERLINK("https://electionmgmt.vermont.gov/TFA/DownLoadFinancialDisclosure?FileName=Ryan Addario Financial Disclosure_26eb987b-e8ce-44d9-9ea5-af7a430d538a.pdf", "Ryan Addario Financial Disclosure_26eb987b-e8ce-44d9-9ea5-af7a430d538a.pdf")</f>
        <v>Ryan Addario Financial Disclosure_26eb987b-e8ce-44d9-9ea5-af7a430d538a.pdf</v>
      </c>
      <c r="O161" s="3"/>
      <c r="P161" s="3"/>
      <c r="Q161" s="3"/>
      <c r="R161" s="3"/>
      <c r="S161" s="3"/>
      <c r="T161" s="3"/>
      <c r="U161" s="3"/>
      <c r="V161" s="3"/>
    </row>
    <row r="162" spans="1:22" ht="31.5" x14ac:dyDescent="0.5">
      <c r="A162" s="3" t="s">
        <v>14</v>
      </c>
      <c r="B162" s="3" t="s">
        <v>1465</v>
      </c>
      <c r="C162" s="3" t="s">
        <v>1469</v>
      </c>
      <c r="D162" s="3" t="s">
        <v>46</v>
      </c>
      <c r="E162" s="3" t="s">
        <v>18</v>
      </c>
      <c r="F162" s="3" t="s">
        <v>1470</v>
      </c>
      <c r="G162" s="3" t="s">
        <v>46</v>
      </c>
      <c r="H162" s="3" t="s">
        <v>20</v>
      </c>
      <c r="I162" s="5" t="s">
        <v>359</v>
      </c>
      <c r="J162" s="3" t="s">
        <v>1471</v>
      </c>
      <c r="K162" s="3" t="s">
        <v>23</v>
      </c>
      <c r="L162" s="3" t="s">
        <v>1472</v>
      </c>
      <c r="M162" s="3" t="s">
        <v>1473</v>
      </c>
      <c r="N162" s="16" t="str">
        <f>HYPERLINK("https://electionmgmt.vermont.gov/TFA/DownLoadFinancialDisclosure?FileName=Jill Krowinski Financial Disclosure_537c66a2-1070-4d27-89b5-a6c633687546.pdf", "Jill Krowinski Financial Disclosure_537c66a2-1070-4d27-89b5-a6c633687546.pdf")</f>
        <v>Jill Krowinski Financial Disclosure_537c66a2-1070-4d27-89b5-a6c633687546.pdf</v>
      </c>
      <c r="O162" s="3"/>
      <c r="P162" s="3"/>
      <c r="Q162" s="3"/>
      <c r="R162" s="3"/>
      <c r="S162" s="3"/>
      <c r="T162" s="3"/>
      <c r="U162" s="3"/>
      <c r="V162" s="3"/>
    </row>
    <row r="163" spans="1:22" ht="31.5" x14ac:dyDescent="0.5">
      <c r="A163" s="3" t="s">
        <v>14</v>
      </c>
      <c r="B163" s="3" t="s">
        <v>1465</v>
      </c>
      <c r="C163" s="3" t="s">
        <v>1474</v>
      </c>
      <c r="D163" s="3" t="s">
        <v>46</v>
      </c>
      <c r="E163" s="3" t="s">
        <v>18</v>
      </c>
      <c r="F163" s="3" t="s">
        <v>1475</v>
      </c>
      <c r="G163" s="3" t="s">
        <v>46</v>
      </c>
      <c r="H163" s="3" t="s">
        <v>20</v>
      </c>
      <c r="I163" s="5" t="s">
        <v>359</v>
      </c>
      <c r="J163" s="3" t="s">
        <v>1476</v>
      </c>
      <c r="K163" s="3" t="s">
        <v>23</v>
      </c>
      <c r="L163" s="3" t="s">
        <v>1477</v>
      </c>
      <c r="M163" s="3" t="s">
        <v>1478</v>
      </c>
      <c r="N163" s="16" t="str">
        <f>HYPERLINK("https://electionmgmt.vermont.gov/TFA/DownLoadFinancialDisclosure?FileName=Kate Logan Financial Discloure_f490d4a9-ec60-4715-b3ef-15d16e907903.pdf", "Kate Logan Financial Discloure_f490d4a9-ec60-4715-b3ef-15d16e907903.pdf")</f>
        <v>Kate Logan Financial Discloure_f490d4a9-ec60-4715-b3ef-15d16e907903.pdf</v>
      </c>
      <c r="O163" s="3"/>
      <c r="P163" s="3"/>
      <c r="Q163" s="3"/>
      <c r="R163" s="3"/>
      <c r="S163" s="3"/>
      <c r="T163" s="3"/>
      <c r="U163" s="3"/>
      <c r="V163" s="3"/>
    </row>
    <row r="164" spans="1:22" ht="31.5" x14ac:dyDescent="0.5">
      <c r="A164" s="3" t="s">
        <v>14</v>
      </c>
      <c r="B164" s="3" t="s">
        <v>1479</v>
      </c>
      <c r="C164" s="3" t="s">
        <v>1480</v>
      </c>
      <c r="D164" s="3" t="s">
        <v>46</v>
      </c>
      <c r="E164" s="3" t="s">
        <v>18</v>
      </c>
      <c r="F164" s="3" t="s">
        <v>1481</v>
      </c>
      <c r="G164" s="3" t="s">
        <v>46</v>
      </c>
      <c r="H164" s="3" t="s">
        <v>20</v>
      </c>
      <c r="I164" s="5" t="s">
        <v>359</v>
      </c>
      <c r="J164" s="3" t="s">
        <v>1482</v>
      </c>
      <c r="K164" s="3" t="s">
        <v>23</v>
      </c>
      <c r="L164" s="3" t="s">
        <v>1483</v>
      </c>
      <c r="M164" s="3" t="s">
        <v>1484</v>
      </c>
      <c r="N164" s="16" t="str">
        <f>HYPERLINK("https://electionmgmt.vermont.gov/TFA/DownLoadFinancialDisclosure?FileName=Emma Mulvaney-Stanak Financial DIsclosure_1651c564-0fe2-42eb-beed-1fe0d08d53a8.pdf", "Emma Mulvaney-Stanak Financial DIsclosure_1651c564-0fe2-42eb-beed-1fe0d08d53a8.pdf")</f>
        <v>Emma Mulvaney-Stanak Financial DIsclosure_1651c564-0fe2-42eb-beed-1fe0d08d53a8.pdf</v>
      </c>
      <c r="O164" s="3"/>
      <c r="P164" s="3"/>
      <c r="Q164" s="3"/>
      <c r="R164" s="3"/>
      <c r="S164" s="3"/>
      <c r="T164" s="3"/>
      <c r="U164" s="3"/>
      <c r="V164" s="3"/>
    </row>
    <row r="165" spans="1:22" ht="31.5" x14ac:dyDescent="0.5">
      <c r="A165" s="3" t="s">
        <v>14</v>
      </c>
      <c r="B165" s="3" t="s">
        <v>376</v>
      </c>
      <c r="C165" s="3" t="s">
        <v>1485</v>
      </c>
      <c r="D165" s="3" t="s">
        <v>46</v>
      </c>
      <c r="E165" s="3" t="s">
        <v>18</v>
      </c>
      <c r="F165" s="3" t="s">
        <v>1486</v>
      </c>
      <c r="G165" s="3" t="s">
        <v>46</v>
      </c>
      <c r="H165" s="3" t="s">
        <v>20</v>
      </c>
      <c r="I165" s="5" t="s">
        <v>48</v>
      </c>
      <c r="J165" s="3" t="s">
        <v>23</v>
      </c>
      <c r="K165" s="3" t="s">
        <v>23</v>
      </c>
      <c r="L165" s="3" t="s">
        <v>1487</v>
      </c>
      <c r="M165" s="3" t="s">
        <v>1488</v>
      </c>
      <c r="N165" s="16" t="str">
        <f>HYPERLINK("https://electionmgmt.vermont.gov/TFA/DownLoadFinancialDisclosure?FileName=Robert Hooper Financial Disclosure_39240e31-9a3e-420f-9cb3-918e539f4dad.pdf", "Robert Hooper Financial Disclosure_39240e31-9a3e-420f-9cb3-918e539f4dad.pdf")</f>
        <v>Robert Hooper Financial Disclosure_39240e31-9a3e-420f-9cb3-918e539f4dad.pdf</v>
      </c>
      <c r="O165" s="3"/>
      <c r="P165" s="3"/>
      <c r="Q165" s="3"/>
      <c r="R165" s="3"/>
      <c r="S165" s="3"/>
      <c r="T165" s="3"/>
      <c r="U165" s="3"/>
      <c r="V165" s="3"/>
    </row>
    <row r="166" spans="1:22" ht="31.5" x14ac:dyDescent="0.5">
      <c r="A166" s="3" t="s">
        <v>14</v>
      </c>
      <c r="B166" s="3" t="s">
        <v>376</v>
      </c>
      <c r="C166" s="3" t="s">
        <v>377</v>
      </c>
      <c r="D166" s="3" t="s">
        <v>46</v>
      </c>
      <c r="E166" s="3" t="s">
        <v>18</v>
      </c>
      <c r="F166" s="3" t="s">
        <v>378</v>
      </c>
      <c r="G166" s="3" t="s">
        <v>46</v>
      </c>
      <c r="H166" s="3" t="s">
        <v>20</v>
      </c>
      <c r="I166" s="5" t="s">
        <v>48</v>
      </c>
      <c r="J166" s="3" t="s">
        <v>379</v>
      </c>
      <c r="K166" s="3" t="s">
        <v>23</v>
      </c>
      <c r="L166" s="3" t="s">
        <v>380</v>
      </c>
      <c r="M166" s="3" t="s">
        <v>23</v>
      </c>
      <c r="N166" s="16" t="str">
        <f>HYPERLINK("https://electionmgmt.vermont.gov/TFA/DownLoadFinancialDisclosure?FileName=Ode - Financial Disclosure_618f5ff5-4f76-4965-b462-c527cb6515f1.pdf", "Ode - Financial Disclosure_618f5ff5-4f76-4965-b462-c527cb6515f1.pdf")</f>
        <v>Ode - Financial Disclosure_618f5ff5-4f76-4965-b462-c527cb6515f1.pdf</v>
      </c>
      <c r="O166" s="3"/>
      <c r="P166" s="3"/>
      <c r="Q166" s="3"/>
      <c r="R166" s="3"/>
      <c r="S166" s="3"/>
      <c r="T166" s="3"/>
      <c r="U166" s="3"/>
      <c r="V166" s="3"/>
    </row>
    <row r="167" spans="1:22" ht="31.5" x14ac:dyDescent="0.5">
      <c r="A167" s="3" t="s">
        <v>14</v>
      </c>
      <c r="B167" s="3" t="s">
        <v>1489</v>
      </c>
      <c r="C167" s="3" t="s">
        <v>1490</v>
      </c>
      <c r="D167" s="3" t="s">
        <v>667</v>
      </c>
      <c r="E167" s="3" t="s">
        <v>18</v>
      </c>
      <c r="F167" s="3" t="s">
        <v>1491</v>
      </c>
      <c r="G167" s="3" t="s">
        <v>667</v>
      </c>
      <c r="H167" s="3" t="s">
        <v>20</v>
      </c>
      <c r="I167" s="5" t="s">
        <v>669</v>
      </c>
      <c r="J167" s="3" t="s">
        <v>1492</v>
      </c>
      <c r="K167" s="3" t="s">
        <v>1493</v>
      </c>
      <c r="L167" s="3" t="s">
        <v>1494</v>
      </c>
      <c r="M167" s="3" t="s">
        <v>23</v>
      </c>
      <c r="N167" s="16" t="str">
        <f>HYPERLINK("https://electionmgmt.vermont.gov/TFA/DownLoadFinancialDisclosure?FileName=DOC052622-001_60ff9931-958d-4d5c-916b-49cf83a35925.pdf", "DOC052622-001_60ff9931-958d-4d5c-916b-49cf83a35925.pdf")</f>
        <v>DOC052622-001_60ff9931-958d-4d5c-916b-49cf83a35925.pdf</v>
      </c>
      <c r="O167" s="3"/>
      <c r="P167" s="3"/>
      <c r="Q167" s="3"/>
      <c r="R167" s="3"/>
      <c r="S167" s="3"/>
      <c r="T167" s="3"/>
      <c r="U167" s="3"/>
      <c r="V167" s="3"/>
    </row>
    <row r="168" spans="1:22" ht="31.5" x14ac:dyDescent="0.5">
      <c r="A168" s="3" t="s">
        <v>14</v>
      </c>
      <c r="B168" s="3" t="s">
        <v>1489</v>
      </c>
      <c r="C168" s="3" t="s">
        <v>1973</v>
      </c>
      <c r="D168" s="3" t="s">
        <v>667</v>
      </c>
      <c r="E168" s="3" t="s">
        <v>76</v>
      </c>
      <c r="F168" s="3" t="s">
        <v>1716</v>
      </c>
      <c r="G168" s="3" t="s">
        <v>667</v>
      </c>
      <c r="H168" s="3" t="s">
        <v>20</v>
      </c>
      <c r="I168" s="5" t="s">
        <v>669</v>
      </c>
      <c r="J168" s="3" t="s">
        <v>1717</v>
      </c>
      <c r="K168" s="3" t="s">
        <v>1717</v>
      </c>
      <c r="L168" s="3" t="s">
        <v>23</v>
      </c>
      <c r="M168" s="3" t="s">
        <v>1718</v>
      </c>
      <c r="N168" s="16" t="str">
        <f>HYPERLINK("https://electionmgmt.vermont.gov/TFA/DownLoadFinancialDisclosure?FileName=DOC052622-002_45365472-47f4-402b-85d2-bb6e387e44f6.pdf", "DOC052622-002_45365472-47f4-402b-85d2-bb6e387e44f6.pdf")</f>
        <v>DOC052622-002_45365472-47f4-402b-85d2-bb6e387e44f6.pdf</v>
      </c>
      <c r="O168" s="3"/>
      <c r="P168" s="3"/>
      <c r="Q168" s="3"/>
      <c r="R168" s="3"/>
      <c r="S168" s="3"/>
      <c r="T168" s="3"/>
      <c r="U168" s="3"/>
      <c r="V168" s="3"/>
    </row>
    <row r="169" spans="1:22" ht="31.5" x14ac:dyDescent="0.5">
      <c r="A169" s="3" t="s">
        <v>14</v>
      </c>
      <c r="B169" s="3" t="s">
        <v>1495</v>
      </c>
      <c r="C169" s="3" t="s">
        <v>1496</v>
      </c>
      <c r="D169" s="3" t="s">
        <v>667</v>
      </c>
      <c r="E169" s="3" t="s">
        <v>18</v>
      </c>
      <c r="F169" s="3" t="s">
        <v>1497</v>
      </c>
      <c r="G169" s="3" t="s">
        <v>667</v>
      </c>
      <c r="H169" s="3" t="s">
        <v>20</v>
      </c>
      <c r="I169" s="5" t="s">
        <v>669</v>
      </c>
      <c r="J169" s="3" t="s">
        <v>1498</v>
      </c>
      <c r="K169" s="3" t="s">
        <v>1498</v>
      </c>
      <c r="L169" s="3" t="s">
        <v>1499</v>
      </c>
      <c r="M169" s="3" t="s">
        <v>1500</v>
      </c>
      <c r="N169" s="16" t="str">
        <f>HYPERLINK("https://electionmgmt.vermont.gov/TFA/DownLoadFinancialDisclosure?FileName=DOC052622-003_884d8528-3047-412a-abf9-91c0bdd27136.pdf", "DOC052622-003_884d8528-3047-412a-abf9-91c0bdd27136.pdf")</f>
        <v>DOC052622-003_884d8528-3047-412a-abf9-91c0bdd27136.pdf</v>
      </c>
      <c r="O169" s="3"/>
      <c r="P169" s="3"/>
      <c r="Q169" s="3"/>
      <c r="R169" s="3"/>
      <c r="S169" s="3"/>
      <c r="T169" s="3"/>
      <c r="U169" s="3"/>
      <c r="V169" s="3"/>
    </row>
    <row r="170" spans="1:22" ht="31.5" x14ac:dyDescent="0.5">
      <c r="A170" s="3" t="s">
        <v>14</v>
      </c>
      <c r="B170" s="3" t="s">
        <v>1495</v>
      </c>
      <c r="C170" s="3" t="s">
        <v>1501</v>
      </c>
      <c r="D170" s="3" t="s">
        <v>667</v>
      </c>
      <c r="E170" s="3" t="s">
        <v>18</v>
      </c>
      <c r="F170" s="3" t="s">
        <v>1502</v>
      </c>
      <c r="G170" s="3" t="s">
        <v>667</v>
      </c>
      <c r="H170" s="3" t="s">
        <v>20</v>
      </c>
      <c r="I170" s="5" t="s">
        <v>669</v>
      </c>
      <c r="J170" s="3" t="s">
        <v>1503</v>
      </c>
      <c r="K170" s="3" t="s">
        <v>1503</v>
      </c>
      <c r="L170" s="3" t="s">
        <v>1504</v>
      </c>
      <c r="M170" s="3" t="s">
        <v>1505</v>
      </c>
      <c r="N170" s="16" t="str">
        <f>HYPERLINK("https://electionmgmt.vermont.gov/TFA/DownLoadFinancialDisclosure?FileName=DOC052422_b682e45a-8ec7-4af7-a2ad-eb028ca6d727.pdf", "DOC052422_b682e45a-8ec7-4af7-a2ad-eb028ca6d727.pdf")</f>
        <v>DOC052422_b682e45a-8ec7-4af7-a2ad-eb028ca6d727.pdf</v>
      </c>
      <c r="O170" s="3"/>
      <c r="P170" s="3"/>
      <c r="Q170" s="3"/>
      <c r="R170" s="3"/>
      <c r="S170" s="3"/>
      <c r="T170" s="3"/>
      <c r="U170" s="3"/>
      <c r="V170" s="3"/>
    </row>
    <row r="171" spans="1:22" ht="31.5" x14ac:dyDescent="0.5">
      <c r="A171" s="3" t="s">
        <v>14</v>
      </c>
      <c r="B171" s="3" t="s">
        <v>1495</v>
      </c>
      <c r="C171" s="3" t="s">
        <v>1719</v>
      </c>
      <c r="D171" s="3" t="s">
        <v>667</v>
      </c>
      <c r="E171" s="3" t="s">
        <v>76</v>
      </c>
      <c r="F171" s="3" t="s">
        <v>1720</v>
      </c>
      <c r="G171" s="3" t="s">
        <v>667</v>
      </c>
      <c r="H171" s="3" t="s">
        <v>20</v>
      </c>
      <c r="I171" s="5" t="s">
        <v>669</v>
      </c>
      <c r="J171" s="3" t="s">
        <v>1721</v>
      </c>
      <c r="K171" s="3" t="s">
        <v>1721</v>
      </c>
      <c r="L171" s="3" t="s">
        <v>1722</v>
      </c>
      <c r="M171" s="3" t="s">
        <v>2203</v>
      </c>
      <c r="N171" s="16" t="str">
        <f>HYPERLINK("https://electionmgmt.vermont.gov/TFA/DownLoadFinancialDisclosure?FileName=DOC052622_008b6374-6804-4a21-bccb-797a1ef8824f.pdf", "DOC052622_008b6374-6804-4a21-bccb-797a1ef8824f.pdf")</f>
        <v>DOC052622_008b6374-6804-4a21-bccb-797a1ef8824f.pdf</v>
      </c>
      <c r="O171" s="3"/>
      <c r="P171" s="3"/>
      <c r="Q171" s="3"/>
      <c r="R171" s="3"/>
      <c r="S171" s="3"/>
      <c r="T171" s="3"/>
      <c r="U171" s="3"/>
      <c r="V171" s="3"/>
    </row>
    <row r="172" spans="1:22" ht="31.5" x14ac:dyDescent="0.5">
      <c r="A172" s="3" t="s">
        <v>14</v>
      </c>
      <c r="B172" s="3" t="s">
        <v>1002</v>
      </c>
      <c r="C172" s="3" t="s">
        <v>1003</v>
      </c>
      <c r="D172" s="3" t="s">
        <v>1004</v>
      </c>
      <c r="E172" s="3" t="s">
        <v>18</v>
      </c>
      <c r="F172" s="3" t="s">
        <v>2184</v>
      </c>
      <c r="G172" s="3" t="s">
        <v>1004</v>
      </c>
      <c r="H172" s="3" t="s">
        <v>20</v>
      </c>
      <c r="I172" s="5" t="s">
        <v>1005</v>
      </c>
      <c r="J172" s="3" t="s">
        <v>1006</v>
      </c>
      <c r="K172" s="3" t="s">
        <v>1006</v>
      </c>
      <c r="L172" s="3" t="s">
        <v>1007</v>
      </c>
      <c r="M172" s="3" t="s">
        <v>1008</v>
      </c>
      <c r="N172" s="16" t="str">
        <f>HYPERLINK("https://electionmgmt.vermont.gov/TFA/DownLoadFinancialDisclosure?FileName=Berbeco Financial 2022_69d37699-a7a2-4afc-be02-67a8174de0f2.pdf", "Berbeco Financial 2022_69d37699-a7a2-4afc-be02-67a8174de0f2.pdf")</f>
        <v>Berbeco Financial 2022_69d37699-a7a2-4afc-be02-67a8174de0f2.pdf</v>
      </c>
      <c r="O172" s="3"/>
      <c r="P172" s="3"/>
      <c r="Q172" s="3"/>
      <c r="R172" s="3"/>
      <c r="S172" s="3"/>
      <c r="T172" s="3"/>
      <c r="U172" s="3"/>
      <c r="V172" s="3"/>
    </row>
    <row r="173" spans="1:22" ht="31.5" x14ac:dyDescent="0.5">
      <c r="A173" s="3" t="s">
        <v>14</v>
      </c>
      <c r="B173" s="3" t="s">
        <v>1002</v>
      </c>
      <c r="C173" s="3" t="s">
        <v>1009</v>
      </c>
      <c r="D173" s="3" t="s">
        <v>1004</v>
      </c>
      <c r="E173" s="3" t="s">
        <v>18</v>
      </c>
      <c r="F173" s="3" t="s">
        <v>1010</v>
      </c>
      <c r="G173" s="3" t="s">
        <v>1004</v>
      </c>
      <c r="H173" s="3" t="s">
        <v>20</v>
      </c>
      <c r="I173" s="5" t="s">
        <v>1005</v>
      </c>
      <c r="J173" s="3" t="s">
        <v>1011</v>
      </c>
      <c r="K173" s="3" t="s">
        <v>1011</v>
      </c>
      <c r="L173" s="3" t="s">
        <v>1012</v>
      </c>
      <c r="M173" s="3" t="s">
        <v>1013</v>
      </c>
      <c r="N173" s="16" t="str">
        <f>HYPERLINK("https://electionmgmt.vermont.gov/TFA/DownLoadFinancialDisclosure?FileName=Small-Consent of Candidate_0723b8e9-9812-429a-bbe5-a0a2c014c5e0.pdf", "Small-Consent of Candidate_0723b8e9-9812-429a-bbe5-a0a2c014c5e0.pdf")</f>
        <v>Small-Consent of Candidate_0723b8e9-9812-429a-bbe5-a0a2c014c5e0.pdf</v>
      </c>
      <c r="O173" s="3"/>
      <c r="P173" s="3"/>
      <c r="Q173" s="3"/>
      <c r="R173" s="3"/>
      <c r="S173" s="3"/>
      <c r="T173" s="3"/>
      <c r="U173" s="3"/>
      <c r="V173" s="3"/>
    </row>
    <row r="174" spans="1:22" ht="31.5" x14ac:dyDescent="0.5">
      <c r="A174" s="3" t="s">
        <v>14</v>
      </c>
      <c r="B174" s="3" t="s">
        <v>278</v>
      </c>
      <c r="C174" s="3" t="s">
        <v>279</v>
      </c>
      <c r="D174" s="3" t="s">
        <v>2186</v>
      </c>
      <c r="E174" s="3" t="s">
        <v>18</v>
      </c>
      <c r="F174" s="3" t="s">
        <v>280</v>
      </c>
      <c r="G174" s="3" t="s">
        <v>281</v>
      </c>
      <c r="H174" s="3" t="s">
        <v>20</v>
      </c>
      <c r="I174" s="5" t="s">
        <v>274</v>
      </c>
      <c r="J174" s="3" t="s">
        <v>282</v>
      </c>
      <c r="K174" s="3" t="s">
        <v>282</v>
      </c>
      <c r="L174" s="3" t="s">
        <v>283</v>
      </c>
      <c r="M174" s="3" t="s">
        <v>284</v>
      </c>
      <c r="N174" s="16" t="str">
        <f>HYPERLINK("https://electionmgmt.vermont.gov/TFA/DownLoadFinancialDisclosure?FileName=dolan_financial_chit22_f2fcab7e-b200-4456-b19d-32dcf4b004a3.pdf", "dolan_financial_chit22_f2fcab7e-b200-4456-b19d-32dcf4b004a3.pdf")</f>
        <v>dolan_financial_chit22_f2fcab7e-b200-4456-b19d-32dcf4b004a3.pdf</v>
      </c>
      <c r="O174" s="3"/>
      <c r="P174" s="3"/>
      <c r="Q174" s="3"/>
      <c r="R174" s="3"/>
      <c r="S174" s="3"/>
      <c r="T174" s="3"/>
      <c r="U174" s="3"/>
      <c r="V174" s="3"/>
    </row>
    <row r="175" spans="1:22" ht="31.5" x14ac:dyDescent="0.5">
      <c r="A175" s="3" t="s">
        <v>14</v>
      </c>
      <c r="B175" s="3" t="s">
        <v>278</v>
      </c>
      <c r="C175" s="3" t="s">
        <v>285</v>
      </c>
      <c r="D175" s="3" t="s">
        <v>2186</v>
      </c>
      <c r="E175" s="3" t="s">
        <v>18</v>
      </c>
      <c r="F175" s="3" t="s">
        <v>286</v>
      </c>
      <c r="G175" s="3" t="s">
        <v>272</v>
      </c>
      <c r="H175" s="3" t="s">
        <v>20</v>
      </c>
      <c r="I175" s="5" t="s">
        <v>274</v>
      </c>
      <c r="J175" s="3" t="s">
        <v>287</v>
      </c>
      <c r="K175" s="3" t="s">
        <v>287</v>
      </c>
      <c r="L175" s="3" t="s">
        <v>288</v>
      </c>
      <c r="M175" s="3" t="s">
        <v>289</v>
      </c>
      <c r="N175" s="16" t="str">
        <f>HYPERLINK("https://electionmgmt.vermont.gov/TFA/DownLoadFinancialDisclosure?FileName=houghton_financial_chit22_0bb5995e-1656-4641-8c31-cfa86d215e5f.pdf", "houghton_financial_chit22_0bb5995e-1656-4641-8c31-cfa86d215e5f.pdf")</f>
        <v>houghton_financial_chit22_0bb5995e-1656-4641-8c31-cfa86d215e5f.pdf</v>
      </c>
      <c r="O175" s="3"/>
      <c r="P175" s="3"/>
      <c r="Q175" s="3"/>
      <c r="R175" s="3"/>
      <c r="S175" s="3"/>
      <c r="T175" s="3"/>
      <c r="U175" s="3"/>
      <c r="V175" s="3"/>
    </row>
    <row r="176" spans="1:22" ht="31.5" x14ac:dyDescent="0.5">
      <c r="A176" s="3" t="s">
        <v>14</v>
      </c>
      <c r="B176" s="3" t="s">
        <v>278</v>
      </c>
      <c r="C176" s="3" t="s">
        <v>1723</v>
      </c>
      <c r="D176" s="3" t="s">
        <v>2186</v>
      </c>
      <c r="E176" s="3" t="s">
        <v>76</v>
      </c>
      <c r="F176" s="3" t="s">
        <v>1724</v>
      </c>
      <c r="G176" s="3" t="s">
        <v>281</v>
      </c>
      <c r="H176" s="3" t="s">
        <v>20</v>
      </c>
      <c r="I176" s="5" t="s">
        <v>1725</v>
      </c>
      <c r="J176" s="3" t="s">
        <v>1726</v>
      </c>
      <c r="K176" s="3" t="s">
        <v>1726</v>
      </c>
      <c r="L176" s="3" t="s">
        <v>1727</v>
      </c>
      <c r="M176" s="3" t="s">
        <v>1728</v>
      </c>
      <c r="N176" s="16" t="str">
        <f>HYPERLINK("https://electionmgmt.vermont.gov/TFA/DownLoadFinancialDisclosure?FileName=manley_financial_Chit22_714b00d6-adc0-4249-99ae-5d4c5145712a.pdf", "manley_financial_Chit22_714b00d6-adc0-4249-99ae-5d4c5145712a.pdf")</f>
        <v>manley_financial_Chit22_714b00d6-adc0-4249-99ae-5d4c5145712a.pdf</v>
      </c>
      <c r="O176" s="3"/>
      <c r="P176" s="3"/>
      <c r="Q176" s="3"/>
      <c r="R176" s="3"/>
      <c r="S176" s="3"/>
      <c r="T176" s="3"/>
      <c r="U176" s="3"/>
      <c r="V176" s="3"/>
    </row>
    <row r="177" spans="1:22" ht="31.5" x14ac:dyDescent="0.5">
      <c r="A177" s="3" t="s">
        <v>14</v>
      </c>
      <c r="B177" s="3" t="s">
        <v>290</v>
      </c>
      <c r="C177" s="3" t="s">
        <v>1014</v>
      </c>
      <c r="D177" s="3" t="s">
        <v>2181</v>
      </c>
      <c r="E177" s="3" t="s">
        <v>18</v>
      </c>
      <c r="F177" s="3" t="s">
        <v>1015</v>
      </c>
      <c r="G177" s="3" t="s">
        <v>272</v>
      </c>
      <c r="H177" s="3" t="s">
        <v>20</v>
      </c>
      <c r="I177" s="5" t="s">
        <v>297</v>
      </c>
      <c r="J177" s="3" t="s">
        <v>1016</v>
      </c>
      <c r="K177" s="3" t="s">
        <v>1016</v>
      </c>
      <c r="L177" s="3" t="s">
        <v>1017</v>
      </c>
      <c r="M177" s="3" t="s">
        <v>1018</v>
      </c>
      <c r="N177" s="16" t="str">
        <f>HYPERLINK("https://electionmgmt.vermont.gov/TFA/DownLoadFinancialDisclosure?FileName=dodge_financial_Chit23_b9d50c8b-da35-4dfe-bac4-5324fdae4f72.pdf", "dodge_financial_Chit23_b9d50c8b-da35-4dfe-bac4-5324fdae4f72.pdf")</f>
        <v>dodge_financial_Chit23_b9d50c8b-da35-4dfe-bac4-5324fdae4f72.pdf</v>
      </c>
      <c r="O177" s="3"/>
      <c r="P177" s="3"/>
      <c r="Q177" s="3"/>
      <c r="R177" s="3"/>
      <c r="S177" s="3"/>
      <c r="T177" s="3"/>
      <c r="U177" s="3"/>
      <c r="V177" s="3"/>
    </row>
    <row r="178" spans="1:22" ht="31.5" x14ac:dyDescent="0.5">
      <c r="A178" s="3" t="s">
        <v>14</v>
      </c>
      <c r="B178" s="3" t="s">
        <v>290</v>
      </c>
      <c r="C178" s="3" t="s">
        <v>291</v>
      </c>
      <c r="D178" s="3" t="s">
        <v>2181</v>
      </c>
      <c r="E178" s="3" t="s">
        <v>18</v>
      </c>
      <c r="F178" s="3" t="s">
        <v>1530</v>
      </c>
      <c r="G178" s="3" t="s">
        <v>281</v>
      </c>
      <c r="H178" s="3" t="s">
        <v>20</v>
      </c>
      <c r="I178" s="5" t="s">
        <v>274</v>
      </c>
      <c r="J178" s="3" t="s">
        <v>292</v>
      </c>
      <c r="K178" s="3" t="s">
        <v>292</v>
      </c>
      <c r="L178" s="3" t="s">
        <v>293</v>
      </c>
      <c r="M178" s="3" t="s">
        <v>23</v>
      </c>
      <c r="N178" s="16" t="str">
        <f>HYPERLINK("https://electionmgmt.vermont.gov/TFA/DownLoadFinancialDisclosure?FileName=garofano_financial_chit23_8c608717-6263-43c2-8573-1e4ffb019bb9.pdf", "garofano_financial_chit23_8c608717-6263-43c2-8573-1e4ffb019bb9.pdf")</f>
        <v>garofano_financial_chit23_8c608717-6263-43c2-8573-1e4ffb019bb9.pdf</v>
      </c>
      <c r="O178" s="3"/>
      <c r="P178" s="3"/>
      <c r="Q178" s="3"/>
      <c r="R178" s="3"/>
      <c r="S178" s="3"/>
      <c r="T178" s="3"/>
      <c r="U178" s="3"/>
      <c r="V178" s="3"/>
    </row>
    <row r="179" spans="1:22" ht="31.5" x14ac:dyDescent="0.5">
      <c r="A179" s="3" t="s">
        <v>14</v>
      </c>
      <c r="B179" s="3" t="s">
        <v>294</v>
      </c>
      <c r="C179" s="3" t="s">
        <v>295</v>
      </c>
      <c r="D179" s="3" t="s">
        <v>2181</v>
      </c>
      <c r="E179" s="3" t="s">
        <v>18</v>
      </c>
      <c r="F179" s="3" t="s">
        <v>296</v>
      </c>
      <c r="G179" s="3" t="s">
        <v>272</v>
      </c>
      <c r="H179" s="3" t="s">
        <v>20</v>
      </c>
      <c r="I179" s="5" t="s">
        <v>297</v>
      </c>
      <c r="J179" s="3" t="s">
        <v>298</v>
      </c>
      <c r="K179" s="3" t="s">
        <v>298</v>
      </c>
      <c r="L179" s="3" t="s">
        <v>299</v>
      </c>
      <c r="M179" s="3" t="s">
        <v>300</v>
      </c>
      <c r="N179" s="16" t="str">
        <f>HYPERLINK("https://electionmgmt.vermont.gov/TFA/DownLoadFinancialDisclosure?FileName=black_financial_chit24_54ca7046-11b2-4550-8b95-c2ca8e7e7975.pdf", "black_financial_chit24_54ca7046-11b2-4550-8b95-c2ca8e7e7975.pdf")</f>
        <v>black_financial_chit24_54ca7046-11b2-4550-8b95-c2ca8e7e7975.pdf</v>
      </c>
      <c r="O179" s="3"/>
      <c r="P179" s="3"/>
      <c r="Q179" s="3"/>
      <c r="R179" s="3"/>
      <c r="S179" s="3"/>
      <c r="T179" s="3"/>
      <c r="U179" s="3"/>
      <c r="V179" s="3"/>
    </row>
    <row r="180" spans="1:22" ht="31.5" x14ac:dyDescent="0.5">
      <c r="A180" s="3" t="s">
        <v>14</v>
      </c>
      <c r="B180" s="3" t="s">
        <v>294</v>
      </c>
      <c r="C180" s="3" t="s">
        <v>1729</v>
      </c>
      <c r="D180" s="3" t="s">
        <v>2181</v>
      </c>
      <c r="E180" s="3" t="s">
        <v>76</v>
      </c>
      <c r="F180" s="3" t="s">
        <v>1730</v>
      </c>
      <c r="G180" s="3" t="s">
        <v>281</v>
      </c>
      <c r="H180" s="3" t="s">
        <v>20</v>
      </c>
      <c r="I180" s="5" t="s">
        <v>274</v>
      </c>
      <c r="J180" s="3" t="s">
        <v>1731</v>
      </c>
      <c r="K180" s="3" t="s">
        <v>1731</v>
      </c>
      <c r="L180" s="3" t="s">
        <v>23</v>
      </c>
      <c r="M180" s="3" t="s">
        <v>23</v>
      </c>
      <c r="N180" s="16" t="str">
        <f>HYPERLINK("https://electionmgmt.vermont.gov/TFA/DownLoadFinancialDisclosure?FileName=drury_financial_chit24_ecba9f77-dca9-487c-94ac-e7381d5939e0.pdf", "drury_financial_chit24_ecba9f77-dca9-487c-94ac-e7381d5939e0.pdf")</f>
        <v>drury_financial_chit24_ecba9f77-dca9-487c-94ac-e7381d5939e0.pdf</v>
      </c>
      <c r="O180" s="3"/>
      <c r="P180" s="3"/>
      <c r="Q180" s="3"/>
      <c r="R180" s="3"/>
      <c r="S180" s="3"/>
      <c r="T180" s="3"/>
      <c r="U180" s="3"/>
      <c r="V180" s="3"/>
    </row>
    <row r="181" spans="1:22" ht="31.5" x14ac:dyDescent="0.5">
      <c r="A181" s="3" t="s">
        <v>14</v>
      </c>
      <c r="B181" s="3" t="s">
        <v>15</v>
      </c>
      <c r="C181" s="3" t="s">
        <v>16</v>
      </c>
      <c r="D181" s="3" t="s">
        <v>17</v>
      </c>
      <c r="E181" s="3" t="s">
        <v>18</v>
      </c>
      <c r="F181" s="3" t="s">
        <v>19</v>
      </c>
      <c r="G181" s="3" t="s">
        <v>17</v>
      </c>
      <c r="H181" s="3" t="s">
        <v>20</v>
      </c>
      <c r="I181" s="3" t="s">
        <v>21</v>
      </c>
      <c r="J181" s="3" t="s">
        <v>22</v>
      </c>
      <c r="K181" s="3" t="s">
        <v>23</v>
      </c>
      <c r="L181" s="3" t="s">
        <v>24</v>
      </c>
      <c r="M181" s="3" t="s">
        <v>25</v>
      </c>
      <c r="N181" s="16" t="str">
        <f>HYPERLINK("https://electionmgmt.vermont.gov/TFA/DownLoadFinancialDisclosure?FileName=Julia_Andrews Financial Disclosure Statement_18fc5d2a-0c31-4c2e-a721-3df8d1478261.pdf", "Julia_Andrews Financial Disclosure Statement_18fc5d2a-0c31-4c2e-a721-3df8d1478261.pdf")</f>
        <v>Julia_Andrews Financial Disclosure Statement_18fc5d2a-0c31-4c2e-a721-3df8d1478261.pdf</v>
      </c>
      <c r="O181" s="3"/>
      <c r="P181" s="3"/>
      <c r="Q181" s="3"/>
      <c r="R181" s="3"/>
      <c r="S181" s="3"/>
      <c r="T181" s="3"/>
      <c r="U181" s="3"/>
      <c r="V181" s="3"/>
    </row>
    <row r="182" spans="1:22" ht="31.5" x14ac:dyDescent="0.5">
      <c r="A182" s="3" t="s">
        <v>14</v>
      </c>
      <c r="B182" s="3" t="s">
        <v>15</v>
      </c>
      <c r="C182" s="3" t="s">
        <v>659</v>
      </c>
      <c r="D182" s="3" t="s">
        <v>654</v>
      </c>
      <c r="E182" s="3" t="s">
        <v>76</v>
      </c>
      <c r="F182" s="3" t="s">
        <v>660</v>
      </c>
      <c r="G182" s="3" t="s">
        <v>654</v>
      </c>
      <c r="H182" s="3" t="s">
        <v>20</v>
      </c>
      <c r="I182" s="3" t="s">
        <v>656</v>
      </c>
      <c r="J182" s="3" t="s">
        <v>23</v>
      </c>
      <c r="K182" s="3" t="s">
        <v>661</v>
      </c>
      <c r="L182" s="3" t="s">
        <v>662</v>
      </c>
      <c r="M182" s="3" t="s">
        <v>23</v>
      </c>
      <c r="N182" s="16" t="str">
        <f>HYPERLINK("https://electionmgmt.vermont.gov/TFA/DownLoadFinancialDisclosure?FileName=duquette financial documents_e74a1e17-1fbb-45bf-8627-2155514ab5c5.pdf", "duquette financial documents_e74a1e17-1fbb-45bf-8627-2155514ab5c5.pdf")</f>
        <v>duquette financial documents_e74a1e17-1fbb-45bf-8627-2155514ab5c5.pdf</v>
      </c>
      <c r="O182" s="3"/>
      <c r="P182" s="3"/>
      <c r="Q182" s="3"/>
      <c r="R182" s="3"/>
      <c r="S182" s="3"/>
      <c r="T182" s="3"/>
      <c r="U182" s="3"/>
      <c r="V182" s="3"/>
    </row>
    <row r="183" spans="1:22" ht="31.5" x14ac:dyDescent="0.5">
      <c r="A183" s="3" t="s">
        <v>14</v>
      </c>
      <c r="B183" s="3" t="s">
        <v>1208</v>
      </c>
      <c r="C183" s="3" t="s">
        <v>1209</v>
      </c>
      <c r="D183" s="3" t="s">
        <v>654</v>
      </c>
      <c r="E183" s="3" t="s">
        <v>76</v>
      </c>
      <c r="F183" s="3" t="s">
        <v>1210</v>
      </c>
      <c r="G183" s="3" t="s">
        <v>654</v>
      </c>
      <c r="H183" s="3" t="s">
        <v>20</v>
      </c>
      <c r="I183" s="3" t="s">
        <v>656</v>
      </c>
      <c r="J183" s="3" t="s">
        <v>1211</v>
      </c>
      <c r="K183" s="3" t="s">
        <v>23</v>
      </c>
      <c r="L183" s="3" t="s">
        <v>1212</v>
      </c>
      <c r="M183" s="3" t="s">
        <v>23</v>
      </c>
      <c r="N183" s="16" t="str">
        <f>HYPERLINK("https://electionmgmt.vermont.gov/TFA/DownLoadFinancialDisclosure?FileName=Mattos - Financial Disclosure Stmt_e791e6d3-aa07-4ade-85a0-2907885a2018.pdf", "Mattos - Financial Disclosure Stmt_e791e6d3-aa07-4ade-85a0-2907885a2018.pdf")</f>
        <v>Mattos - Financial Disclosure Stmt_e791e6d3-aa07-4ade-85a0-2907885a2018.pdf</v>
      </c>
      <c r="O183" s="3"/>
      <c r="P183" s="3"/>
      <c r="Q183" s="3"/>
      <c r="R183" s="3"/>
      <c r="S183" s="3"/>
      <c r="T183" s="3"/>
      <c r="U183" s="3"/>
      <c r="V183" s="3"/>
    </row>
    <row r="184" spans="1:22" ht="31.5" x14ac:dyDescent="0.5">
      <c r="A184" s="3" t="s">
        <v>14</v>
      </c>
      <c r="B184" s="3" t="s">
        <v>1208</v>
      </c>
      <c r="C184" s="3" t="s">
        <v>1736</v>
      </c>
      <c r="D184" s="3" t="s">
        <v>654</v>
      </c>
      <c r="E184" s="3" t="s">
        <v>76</v>
      </c>
      <c r="F184" s="3" t="s">
        <v>1737</v>
      </c>
      <c r="G184" s="3" t="s">
        <v>654</v>
      </c>
      <c r="H184" s="3" t="s">
        <v>20</v>
      </c>
      <c r="I184" s="3" t="s">
        <v>656</v>
      </c>
      <c r="J184" s="3" t="s">
        <v>1738</v>
      </c>
      <c r="K184" s="3" t="s">
        <v>23</v>
      </c>
      <c r="L184" s="3" t="s">
        <v>1739</v>
      </c>
      <c r="M184" s="3" t="s">
        <v>23</v>
      </c>
      <c r="N184" s="16" t="str">
        <f>HYPERLINK("https://electionmgmt.vermont.gov/TFA/DownLoadFinancialDisclosure?FileName=Taylor - Financial Disclosure Stmt_86c9f77e-1cd4-41d8-8305-6511cd10019f.pdf", "Taylor - Financial Disclosure Stmt_86c9f77e-1cd4-41d8-8305-6511cd10019f.pdf")</f>
        <v>Taylor - Financial Disclosure Stmt_86c9f77e-1cd4-41d8-8305-6511cd10019f.pdf</v>
      </c>
      <c r="O184" s="3"/>
      <c r="P184" s="3"/>
      <c r="Q184" s="3"/>
      <c r="R184" s="3"/>
      <c r="S184" s="3"/>
      <c r="T184" s="3"/>
      <c r="U184" s="3"/>
      <c r="V184" s="3"/>
    </row>
    <row r="185" spans="1:22" ht="31.5" x14ac:dyDescent="0.5">
      <c r="A185" s="3" t="s">
        <v>14</v>
      </c>
      <c r="B185" s="3" t="s">
        <v>722</v>
      </c>
      <c r="C185" s="3" t="s">
        <v>1213</v>
      </c>
      <c r="D185" s="3" t="s">
        <v>1214</v>
      </c>
      <c r="E185" s="3" t="s">
        <v>76</v>
      </c>
      <c r="F185" s="3" t="s">
        <v>559</v>
      </c>
      <c r="G185" s="3" t="s">
        <v>1215</v>
      </c>
      <c r="H185" s="3" t="s">
        <v>20</v>
      </c>
      <c r="I185" s="3" t="s">
        <v>1216</v>
      </c>
      <c r="J185" s="3" t="s">
        <v>1217</v>
      </c>
      <c r="K185" s="3" t="s">
        <v>23</v>
      </c>
      <c r="L185" s="3" t="s">
        <v>1218</v>
      </c>
      <c r="M185" s="3" t="s">
        <v>23</v>
      </c>
      <c r="N185" s="16" t="str">
        <f>HYPERLINK("https://electionmgmt.vermont.gov/TFA/DownLoadFinancialDisclosure?FileName=J KASCENSKA FINANCIAL_8063829a-36c4-432a-b204-c7f966cb539e.pdf", "J KASCENSKA FINANCIAL_8063829a-36c4-432a-b204-c7f966cb539e.pdf")</f>
        <v>J KASCENSKA FINANCIAL_8063829a-36c4-432a-b204-c7f966cb539e.pdf</v>
      </c>
      <c r="O185" s="3"/>
      <c r="P185" s="3"/>
      <c r="Q185" s="3"/>
      <c r="R185" s="3"/>
      <c r="S185" s="3"/>
      <c r="T185" s="3"/>
      <c r="U185" s="3"/>
      <c r="V185" s="3"/>
    </row>
    <row r="186" spans="1:22" ht="31.5" x14ac:dyDescent="0.5">
      <c r="A186" s="3" t="s">
        <v>14</v>
      </c>
      <c r="B186" s="3" t="s">
        <v>722</v>
      </c>
      <c r="C186" s="3" t="s">
        <v>723</v>
      </c>
      <c r="D186" s="3" t="s">
        <v>724</v>
      </c>
      <c r="E186" s="3" t="s">
        <v>76</v>
      </c>
      <c r="F186" s="3" t="s">
        <v>725</v>
      </c>
      <c r="G186" s="3" t="s">
        <v>724</v>
      </c>
      <c r="H186" s="3" t="s">
        <v>20</v>
      </c>
      <c r="I186" s="3" t="s">
        <v>726</v>
      </c>
      <c r="J186" s="3" t="s">
        <v>727</v>
      </c>
      <c r="K186" s="3" t="s">
        <v>23</v>
      </c>
      <c r="L186" s="3" t="s">
        <v>728</v>
      </c>
      <c r="M186" s="3"/>
      <c r="N186" s="16" t="str">
        <f>HYPERLINK("https://electionmgmt.vermont.gov/TFA/DownLoadFinancialDisclosure?FileName=T WILLIAMS FINANCIAL_6b29fd4a-9b4d-4098-a5f9-ab11ad8b2741.pdf", "T WILLIAMS FINANCIAL_6b29fd4a-9b4d-4098-a5f9-ab11ad8b2741.pdf")</f>
        <v>T WILLIAMS FINANCIAL_6b29fd4a-9b4d-4098-a5f9-ab11ad8b2741.pdf</v>
      </c>
      <c r="O186" s="3"/>
      <c r="P186" s="3"/>
      <c r="Q186" s="3"/>
      <c r="R186" s="3"/>
      <c r="S186" s="3"/>
      <c r="T186" s="3"/>
      <c r="U186" s="3"/>
      <c r="V186" s="3"/>
    </row>
    <row r="187" spans="1:22" ht="31.5" x14ac:dyDescent="0.5">
      <c r="A187" s="3" t="s">
        <v>14</v>
      </c>
      <c r="B187" s="3" t="s">
        <v>833</v>
      </c>
      <c r="C187" s="3" t="s">
        <v>1219</v>
      </c>
      <c r="D187" s="3" t="s">
        <v>1220</v>
      </c>
      <c r="E187" s="3" t="s">
        <v>76</v>
      </c>
      <c r="F187" s="3" t="s">
        <v>1221</v>
      </c>
      <c r="G187" s="3" t="s">
        <v>1220</v>
      </c>
      <c r="H187" s="3" t="s">
        <v>20</v>
      </c>
      <c r="I187" s="3" t="s">
        <v>1222</v>
      </c>
      <c r="J187" s="3" t="s">
        <v>1223</v>
      </c>
      <c r="K187" s="3" t="s">
        <v>1223</v>
      </c>
      <c r="L187" s="3" t="s">
        <v>1224</v>
      </c>
      <c r="M187" s="3" t="s">
        <v>23</v>
      </c>
      <c r="N187" s="16" t="str">
        <f>HYPERLINK("https://electionmgmt.vermont.gov/TFA/DownLoadFinancialDisclosure?FileName=DOC052422_98e86a48-1655-4862-aea4-b2f0a7141a94.pdf", "DOC052422_98e86a48-1655-4862-aea4-b2f0a7141a94.pdf")</f>
        <v>DOC052422_98e86a48-1655-4862-aea4-b2f0a7141a94.pdf</v>
      </c>
      <c r="O187" s="3"/>
      <c r="P187" s="3"/>
      <c r="Q187" s="3"/>
      <c r="R187" s="3"/>
      <c r="S187" s="3"/>
      <c r="T187" s="3"/>
      <c r="U187" s="3"/>
      <c r="V187" s="3"/>
    </row>
    <row r="188" spans="1:22" ht="31.5" x14ac:dyDescent="0.5">
      <c r="A188" s="3" t="s">
        <v>14</v>
      </c>
      <c r="B188" s="3" t="s">
        <v>833</v>
      </c>
      <c r="C188" s="3" t="s">
        <v>834</v>
      </c>
      <c r="D188" s="3" t="s">
        <v>835</v>
      </c>
      <c r="E188" s="3" t="s">
        <v>18</v>
      </c>
      <c r="F188" s="3" t="s">
        <v>836</v>
      </c>
      <c r="G188" s="3" t="s">
        <v>837</v>
      </c>
      <c r="H188" s="3" t="s">
        <v>20</v>
      </c>
      <c r="I188" s="3" t="s">
        <v>838</v>
      </c>
      <c r="J188" s="3" t="s">
        <v>839</v>
      </c>
      <c r="K188" s="3" t="s">
        <v>839</v>
      </c>
      <c r="L188" s="3" t="s">
        <v>840</v>
      </c>
      <c r="M188" s="3"/>
      <c r="N188" s="16" t="str">
        <f>HYPERLINK("https://electionmgmt.vermont.gov/TFA/DownLoadFinancialDisclosure?FileName=DOC052422 (1)_5aadc02c-494c-42e1-9511-e21f86bbb9b6.pdf", "DOC052422 (1)_5aadc02c-494c-42e1-9511-e21f86bbb9b6.pdf")</f>
        <v>DOC052422 (1)_5aadc02c-494c-42e1-9511-e21f86bbb9b6.pdf</v>
      </c>
      <c r="O188" s="3"/>
      <c r="P188" s="3"/>
      <c r="Q188" s="3"/>
      <c r="R188" s="3"/>
      <c r="S188" s="3"/>
      <c r="T188" s="3"/>
      <c r="U188" s="3"/>
      <c r="V188" s="3"/>
    </row>
    <row r="189" spans="1:22" ht="31.5" x14ac:dyDescent="0.5">
      <c r="A189" s="3" t="s">
        <v>14</v>
      </c>
      <c r="B189" s="3" t="s">
        <v>833</v>
      </c>
      <c r="C189" s="3" t="s">
        <v>1225</v>
      </c>
      <c r="D189" s="3" t="s">
        <v>1226</v>
      </c>
      <c r="E189" s="3" t="s">
        <v>76</v>
      </c>
      <c r="F189" s="3" t="s">
        <v>1227</v>
      </c>
      <c r="G189" s="3" t="s">
        <v>1228</v>
      </c>
      <c r="H189" s="3" t="s">
        <v>20</v>
      </c>
      <c r="I189" s="3" t="s">
        <v>1229</v>
      </c>
      <c r="J189" s="3" t="s">
        <v>1230</v>
      </c>
      <c r="K189" s="3" t="s">
        <v>1230</v>
      </c>
      <c r="L189" s="3" t="s">
        <v>1231</v>
      </c>
      <c r="M189" s="3" t="s">
        <v>23</v>
      </c>
      <c r="N189" s="16" t="str">
        <f>HYPERLINK("https://electionmgmt.vermont.gov/TFA/DownLoadFinancialDisclosure?FileName=DOC052522_0f525379-9f5e-4adc-83d2-c5b1e4d6f48a.pdf", "DOC052522_0f525379-9f5e-4adc-83d2-c5b1e4d6f48a.pdf")</f>
        <v>DOC052522_0f525379-9f5e-4adc-83d2-c5b1e4d6f48a.pdf</v>
      </c>
      <c r="O189" s="3"/>
      <c r="P189" s="3"/>
      <c r="Q189" s="3"/>
      <c r="R189" s="3"/>
      <c r="S189" s="3"/>
      <c r="T189" s="3"/>
      <c r="U189" s="3"/>
      <c r="V189" s="3"/>
    </row>
    <row r="190" spans="1:22" ht="31.5" x14ac:dyDescent="0.5">
      <c r="A190" s="3" t="s">
        <v>14</v>
      </c>
      <c r="B190" s="3" t="s">
        <v>716</v>
      </c>
      <c r="C190" s="3" t="s">
        <v>1964</v>
      </c>
      <c r="D190" s="3" t="s">
        <v>1845</v>
      </c>
      <c r="E190" s="3" t="s">
        <v>76</v>
      </c>
      <c r="F190" s="3" t="s">
        <v>1965</v>
      </c>
      <c r="G190" s="3" t="s">
        <v>1845</v>
      </c>
      <c r="H190" s="3" t="s">
        <v>20</v>
      </c>
      <c r="I190" s="3" t="s">
        <v>1847</v>
      </c>
      <c r="J190" s="3" t="s">
        <v>1966</v>
      </c>
      <c r="K190" s="3" t="s">
        <v>1966</v>
      </c>
      <c r="L190" s="3" t="s">
        <v>1967</v>
      </c>
      <c r="M190" s="3" t="s">
        <v>1968</v>
      </c>
      <c r="N190" s="16" t="str">
        <f>HYPERLINK("https://electionmgmt.vermont.gov/TFA/DownLoadFinancialDisclosure?FileName=ASHLEY R BARTLEY_FINANCIAL DISCLOSURE FORM 2022_0dacea42-10fd-4c87-8e98-2756f31181b0.pdf", "ASHLEY R BARTLEY_FINANCIAL DISCLOSURE FORM 2022_0dacea42-10fd-4c87-8e98-2756f31181b0.pdf")</f>
        <v>ASHLEY R BARTLEY_FINANCIAL DISCLOSURE FORM 2022_0dacea42-10fd-4c87-8e98-2756f31181b0.pdf</v>
      </c>
      <c r="O190" s="3"/>
      <c r="P190" s="3"/>
      <c r="Q190" s="3"/>
      <c r="R190" s="3"/>
      <c r="S190" s="3"/>
      <c r="T190" s="3"/>
      <c r="U190" s="3"/>
      <c r="V190" s="3"/>
    </row>
    <row r="191" spans="1:22" ht="31.5" x14ac:dyDescent="0.5">
      <c r="A191" s="3" t="s">
        <v>14</v>
      </c>
      <c r="B191" s="3" t="s">
        <v>716</v>
      </c>
      <c r="C191" s="3" t="s">
        <v>1969</v>
      </c>
      <c r="D191" s="3" t="s">
        <v>1959</v>
      </c>
      <c r="E191" s="3" t="s">
        <v>76</v>
      </c>
      <c r="F191" s="3" t="s">
        <v>1970</v>
      </c>
      <c r="G191" s="3" t="s">
        <v>1959</v>
      </c>
      <c r="H191" s="3" t="s">
        <v>20</v>
      </c>
      <c r="I191" s="3" t="s">
        <v>236</v>
      </c>
      <c r="J191" s="3" t="s">
        <v>1971</v>
      </c>
      <c r="K191" s="3" t="s">
        <v>1971</v>
      </c>
      <c r="L191" s="3" t="s">
        <v>1972</v>
      </c>
      <c r="M191" s="3" t="s">
        <v>23</v>
      </c>
      <c r="N191" s="16" t="str">
        <f>HYPERLINK("https://electionmgmt.vermont.gov/TFA/DownLoadFinancialDisclosure?FileName=CAROLYN BRANAGAN FINANCIAL DISCLOSURE FORM 2022_b8b753f5-d409-44a7-a96c-1e59a7586006.pdf", "CAROLYN BRANAGAN FINANCIAL DISCLOSURE FORM 2022_b8b753f5-d409-44a7-a96c-1e59a7586006.pdf")</f>
        <v>CAROLYN BRANAGAN FINANCIAL DISCLOSURE FORM 2022_b8b753f5-d409-44a7-a96c-1e59a7586006.pdf</v>
      </c>
      <c r="O191" s="3"/>
      <c r="P191" s="3"/>
      <c r="Q191" s="3"/>
      <c r="R191" s="3"/>
      <c r="S191" s="3"/>
      <c r="T191" s="3"/>
      <c r="U191" s="3"/>
      <c r="V191" s="3"/>
    </row>
    <row r="192" spans="1:22" ht="31.5" x14ac:dyDescent="0.5">
      <c r="A192" s="3" t="s">
        <v>14</v>
      </c>
      <c r="B192" s="3" t="s">
        <v>716</v>
      </c>
      <c r="C192" s="3" t="s">
        <v>1952</v>
      </c>
      <c r="D192" s="3" t="s">
        <v>1845</v>
      </c>
      <c r="E192" s="3" t="s">
        <v>18</v>
      </c>
      <c r="F192" s="3" t="s">
        <v>1953</v>
      </c>
      <c r="G192" s="3" t="s">
        <v>1845</v>
      </c>
      <c r="H192" s="3" t="s">
        <v>20</v>
      </c>
      <c r="I192" s="3" t="s">
        <v>1847</v>
      </c>
      <c r="J192" s="3" t="s">
        <v>1954</v>
      </c>
      <c r="K192" s="3" t="s">
        <v>1955</v>
      </c>
      <c r="L192" s="3" t="s">
        <v>1956</v>
      </c>
      <c r="M192" s="3" t="s">
        <v>1957</v>
      </c>
      <c r="N192" s="16" t="str">
        <f>HYPERLINK("https://electionmgmt.vermont.gov/TFA/DownLoadFinancialDisclosure?FileName=ALAN MAYNARD_FINANCIAL DISCLOSURE FORM 2022_1496a514-5479-428e-a73c-9ff8fd6bac52.pdf", "ALAN MAYNARD_FINANCIAL DISCLOSURE FORM 2022_1496a514-5479-428e-a73c-9ff8fd6bac52.pdf")</f>
        <v>ALAN MAYNARD_FINANCIAL DISCLOSURE FORM 2022_1496a514-5479-428e-a73c-9ff8fd6bac52.pdf</v>
      </c>
      <c r="O192" s="3"/>
      <c r="P192" s="3"/>
      <c r="Q192" s="3"/>
      <c r="R192" s="3"/>
      <c r="S192" s="3"/>
      <c r="T192" s="3"/>
      <c r="U192" s="3"/>
      <c r="V192" s="3"/>
    </row>
    <row r="193" spans="1:22" ht="31.5" x14ac:dyDescent="0.5">
      <c r="A193" s="3" t="s">
        <v>14</v>
      </c>
      <c r="B193" s="3" t="s">
        <v>716</v>
      </c>
      <c r="C193" s="3" t="s">
        <v>1958</v>
      </c>
      <c r="D193" s="3" t="s">
        <v>1959</v>
      </c>
      <c r="E193" s="3" t="s">
        <v>18</v>
      </c>
      <c r="F193" s="3" t="s">
        <v>1960</v>
      </c>
      <c r="G193" s="3" t="s">
        <v>1959</v>
      </c>
      <c r="H193" s="3" t="s">
        <v>20</v>
      </c>
      <c r="I193" s="3" t="s">
        <v>656</v>
      </c>
      <c r="J193" s="3" t="s">
        <v>1961</v>
      </c>
      <c r="K193" s="3" t="s">
        <v>1961</v>
      </c>
      <c r="L193" s="3" t="s">
        <v>1962</v>
      </c>
      <c r="M193" s="3" t="s">
        <v>1963</v>
      </c>
      <c r="N193" s="16" t="str">
        <f>HYPERLINK("https://electionmgmt.vermont.gov/TFA/DownLoadFinancialDisclosure?FileName=DEVON THOMAS FINANCIAL DISCLOSURE FORM 2022_4e5656c5-2050-4dbe-b5e5-2591a66257d8.pdf", "DEVON THOMAS FINANCIAL DISCLOSURE FORM 2022_4e5656c5-2050-4dbe-b5e5-2591a66257d8.pdf")</f>
        <v>DEVON THOMAS FINANCIAL DISCLOSURE FORM 2022_4e5656c5-2050-4dbe-b5e5-2591a66257d8.pdf</v>
      </c>
      <c r="O193" s="3"/>
      <c r="P193" s="3"/>
      <c r="Q193" s="3"/>
      <c r="R193" s="3"/>
      <c r="S193" s="3"/>
      <c r="T193" s="3"/>
      <c r="U193" s="3"/>
      <c r="V193" s="3"/>
    </row>
    <row r="194" spans="1:22" ht="31.5" x14ac:dyDescent="0.5">
      <c r="A194" s="3" t="s">
        <v>14</v>
      </c>
      <c r="B194" s="3" t="s">
        <v>1232</v>
      </c>
      <c r="C194" s="3" t="s">
        <v>1233</v>
      </c>
      <c r="D194" s="3" t="s">
        <v>233</v>
      </c>
      <c r="E194" s="3" t="s">
        <v>76</v>
      </c>
      <c r="F194" s="3" t="s">
        <v>1234</v>
      </c>
      <c r="G194" s="3" t="s">
        <v>233</v>
      </c>
      <c r="H194" s="3" t="s">
        <v>20</v>
      </c>
      <c r="I194" s="3" t="s">
        <v>236</v>
      </c>
      <c r="J194" s="3" t="s">
        <v>1235</v>
      </c>
      <c r="K194" s="3" t="s">
        <v>23</v>
      </c>
      <c r="L194" s="3" t="s">
        <v>1236</v>
      </c>
      <c r="M194" s="3"/>
      <c r="N194" s="16" t="str">
        <f>HYPERLINK("https://electionmgmt.vermont.gov/TFA/DownLoadFinancialDisclosure?FileName=Dickinson Financial Disclosure Form_2378c76d-52ef-4d31-9968-11b52baf24b9.pdf", "Dickinson Financial Disclosure Form_2378c76d-52ef-4d31-9968-11b52baf24b9.pdf")</f>
        <v>Dickinson Financial Disclosure Form_2378c76d-52ef-4d31-9968-11b52baf24b9.pdf</v>
      </c>
      <c r="O194" s="3"/>
      <c r="P194" s="3"/>
      <c r="Q194" s="3"/>
      <c r="R194" s="3"/>
      <c r="S194" s="3"/>
      <c r="T194" s="3"/>
      <c r="U194" s="3"/>
      <c r="V194" s="3"/>
    </row>
    <row r="195" spans="1:22" ht="31.5" x14ac:dyDescent="0.5">
      <c r="A195" s="3" t="s">
        <v>14</v>
      </c>
      <c r="B195" s="3" t="s">
        <v>735</v>
      </c>
      <c r="C195" s="3" t="s">
        <v>1740</v>
      </c>
      <c r="D195" s="3" t="s">
        <v>443</v>
      </c>
      <c r="E195" s="3" t="s">
        <v>76</v>
      </c>
      <c r="F195" s="3" t="s">
        <v>1741</v>
      </c>
      <c r="G195" s="3" t="s">
        <v>443</v>
      </c>
      <c r="H195" s="3" t="s">
        <v>20</v>
      </c>
      <c r="I195" s="3" t="s">
        <v>236</v>
      </c>
      <c r="J195" s="3" t="s">
        <v>1742</v>
      </c>
      <c r="K195" s="3" t="s">
        <v>23</v>
      </c>
      <c r="L195" s="3" t="s">
        <v>23</v>
      </c>
      <c r="M195" s="3"/>
      <c r="N195" s="16" t="str">
        <f>HYPERLINK("https://electionmgmt.vermont.gov/TFA/DownLoadFinancialDisclosure?FileName=Luneau Financial Disclosure_abc90332-aa41-45a2-94ab-ac7acb13336c.pdf", "Luneau Financial Disclosure_abc90332-aa41-45a2-94ab-ac7acb13336c.pdf")</f>
        <v>Luneau Financial Disclosure_abc90332-aa41-45a2-94ab-ac7acb13336c.pdf</v>
      </c>
      <c r="O195" s="3"/>
      <c r="P195" s="3"/>
      <c r="Q195" s="3"/>
      <c r="R195" s="3"/>
      <c r="S195" s="3"/>
      <c r="T195" s="3"/>
      <c r="U195" s="3"/>
      <c r="V195" s="3"/>
    </row>
    <row r="196" spans="1:22" ht="31.5" x14ac:dyDescent="0.5">
      <c r="A196" s="3" t="s">
        <v>14</v>
      </c>
      <c r="B196" s="3" t="s">
        <v>735</v>
      </c>
      <c r="C196" s="3" t="s">
        <v>736</v>
      </c>
      <c r="D196" s="3" t="s">
        <v>443</v>
      </c>
      <c r="E196" s="3" t="s">
        <v>18</v>
      </c>
      <c r="F196" s="3" t="s">
        <v>737</v>
      </c>
      <c r="G196" s="3" t="s">
        <v>443</v>
      </c>
      <c r="H196" s="3" t="s">
        <v>20</v>
      </c>
      <c r="I196" s="3" t="s">
        <v>236</v>
      </c>
      <c r="J196" s="3" t="s">
        <v>738</v>
      </c>
      <c r="K196" s="3" t="s">
        <v>23</v>
      </c>
      <c r="L196" s="3" t="s">
        <v>739</v>
      </c>
      <c r="M196" s="3" t="s">
        <v>740</v>
      </c>
      <c r="N196" s="16" t="str">
        <f>HYPERLINK("https://electionmgmt.vermont.gov/TFA/DownLoadFinancialDisclosure?FileName=McCarthy Financial Disclosure_0acdb496-a984-4807-b5ab-45730d0a798f.pdf", "McCarthy Financial Disclosure_0acdb496-a984-4807-b5ab-45730d0a798f.pdf")</f>
        <v>McCarthy Financial Disclosure_0acdb496-a984-4807-b5ab-45730d0a798f.pdf</v>
      </c>
      <c r="O196" s="3"/>
      <c r="P196" s="3"/>
      <c r="Q196" s="3"/>
      <c r="R196" s="3"/>
      <c r="S196" s="3"/>
      <c r="T196" s="3"/>
      <c r="U196" s="3"/>
      <c r="V196" s="3"/>
    </row>
    <row r="197" spans="1:22" ht="31.5" x14ac:dyDescent="0.5">
      <c r="A197" s="3" t="s">
        <v>14</v>
      </c>
      <c r="B197" s="3" t="s">
        <v>1743</v>
      </c>
      <c r="C197" s="3" t="s">
        <v>1744</v>
      </c>
      <c r="D197" s="3" t="s">
        <v>718</v>
      </c>
      <c r="E197" s="3" t="s">
        <v>76</v>
      </c>
      <c r="F197" s="3" t="s">
        <v>1745</v>
      </c>
      <c r="G197" s="3" t="s">
        <v>718</v>
      </c>
      <c r="H197" s="3" t="s">
        <v>20</v>
      </c>
      <c r="I197" s="3" t="s">
        <v>720</v>
      </c>
      <c r="J197" s="3" t="s">
        <v>1746</v>
      </c>
      <c r="K197" s="3" t="s">
        <v>1747</v>
      </c>
      <c r="L197" s="3" t="s">
        <v>23</v>
      </c>
      <c r="M197" s="3" t="s">
        <v>23</v>
      </c>
      <c r="N197" s="16" t="str">
        <f>HYPERLINK("https://electionmgmt.vermont.gov/TFA/DownLoadFinancialDisclosure?FileName=SKM_450i22052615090_45c7803f-cd05-4a3b-9e12-c18bc5f8b114.pdf", "SKM_450i22052615090_45c7803f-cd05-4a3b-9e12-c18bc5f8b114.pdf")</f>
        <v>SKM_450i22052615090_45c7803f-cd05-4a3b-9e12-c18bc5f8b114.pdf</v>
      </c>
      <c r="O197" s="3"/>
      <c r="P197" s="3"/>
      <c r="Q197" s="3"/>
      <c r="R197" s="3"/>
      <c r="S197" s="3"/>
      <c r="T197" s="3"/>
      <c r="U197" s="3"/>
      <c r="V197" s="3"/>
    </row>
    <row r="198" spans="1:22" ht="31.5" x14ac:dyDescent="0.5">
      <c r="A198" s="3" t="s">
        <v>14</v>
      </c>
      <c r="B198" s="3" t="s">
        <v>1743</v>
      </c>
      <c r="C198" s="3" t="s">
        <v>1748</v>
      </c>
      <c r="D198" s="3" t="s">
        <v>943</v>
      </c>
      <c r="E198" s="3" t="s">
        <v>76</v>
      </c>
      <c r="F198" s="3" t="s">
        <v>1749</v>
      </c>
      <c r="G198" s="3" t="s">
        <v>943</v>
      </c>
      <c r="H198" s="3" t="s">
        <v>20</v>
      </c>
      <c r="I198" s="3" t="s">
        <v>944</v>
      </c>
      <c r="J198" s="3" t="s">
        <v>1750</v>
      </c>
      <c r="K198" s="3" t="s">
        <v>1750</v>
      </c>
      <c r="L198" s="3" t="s">
        <v>1751</v>
      </c>
      <c r="M198" s="3" t="s">
        <v>23</v>
      </c>
      <c r="N198" s="16" t="str">
        <f>HYPERLINK("https://electionmgmt.vermont.gov/TFA/DownLoadFinancialDisclosure?FileName=SKM_450i22052614540_a60d63a2-76db-409f-8f9a-0126423b66af.pdf", "SKM_450i22052614540_a60d63a2-76db-409f-8f9a-0126423b66af.pdf")</f>
        <v>SKM_450i22052614540_a60d63a2-76db-409f-8f9a-0126423b66af.pdf</v>
      </c>
      <c r="O198" s="3"/>
      <c r="P198" s="3"/>
      <c r="Q198" s="3"/>
      <c r="R198" s="3"/>
      <c r="S198" s="3"/>
      <c r="T198" s="3"/>
      <c r="U198" s="3"/>
      <c r="V198" s="3"/>
    </row>
    <row r="199" spans="1:22" ht="31.5" x14ac:dyDescent="0.5">
      <c r="A199" s="3" t="s">
        <v>14</v>
      </c>
      <c r="B199" s="3" t="s">
        <v>492</v>
      </c>
      <c r="C199" s="3" t="s">
        <v>493</v>
      </c>
      <c r="D199" s="3" t="s">
        <v>260</v>
      </c>
      <c r="E199" s="3" t="s">
        <v>76</v>
      </c>
      <c r="F199" s="3" t="s">
        <v>494</v>
      </c>
      <c r="G199" s="3" t="s">
        <v>262</v>
      </c>
      <c r="H199" s="3" t="s">
        <v>20</v>
      </c>
      <c r="I199" s="3" t="s">
        <v>263</v>
      </c>
      <c r="J199" s="3" t="s">
        <v>495</v>
      </c>
      <c r="K199" s="3" t="s">
        <v>495</v>
      </c>
      <c r="L199" s="3" t="s">
        <v>496</v>
      </c>
      <c r="M199" s="3" t="s">
        <v>497</v>
      </c>
      <c r="N199" s="16" t="s">
        <v>498</v>
      </c>
      <c r="O199" s="3"/>
      <c r="P199" s="3"/>
      <c r="Q199" s="3"/>
      <c r="R199" s="3"/>
      <c r="S199" s="3"/>
      <c r="T199" s="3"/>
      <c r="U199" s="3"/>
      <c r="V199" s="3"/>
    </row>
    <row r="200" spans="1:22" ht="31.5" x14ac:dyDescent="0.5">
      <c r="A200" s="3" t="s">
        <v>14</v>
      </c>
      <c r="B200" s="3" t="s">
        <v>492</v>
      </c>
      <c r="C200" s="3" t="s">
        <v>570</v>
      </c>
      <c r="D200" s="3" t="s">
        <v>231</v>
      </c>
      <c r="E200" s="3" t="s">
        <v>76</v>
      </c>
      <c r="F200" s="3" t="s">
        <v>571</v>
      </c>
      <c r="G200" s="3" t="s">
        <v>231</v>
      </c>
      <c r="H200" s="3" t="s">
        <v>20</v>
      </c>
      <c r="I200" s="3" t="s">
        <v>572</v>
      </c>
      <c r="J200" s="3" t="s">
        <v>573</v>
      </c>
      <c r="K200" s="3" t="s">
        <v>573</v>
      </c>
      <c r="L200" s="3" t="s">
        <v>574</v>
      </c>
      <c r="M200" s="3"/>
      <c r="N200" s="16" t="str">
        <f>HYPERLINK("https://electionmgmt.vermont.gov/TFA/DownLoadFinancialDisclosure?FileName=Laroche, Wayne - financial disclosure_1c778ef4-52f1-4b06-b31a-b8e0c3872b23.pdf", "Laroche, Wayne - financial disclosure_1c778ef4-52f1-4b06-b31a-b8e0c3872b23.pdf")</f>
        <v>Laroche, Wayne - financial disclosure_1c778ef4-52f1-4b06-b31a-b8e0c3872b23.pdf</v>
      </c>
      <c r="O200" s="3"/>
      <c r="P200" s="3"/>
      <c r="Q200" s="3"/>
      <c r="R200" s="3"/>
      <c r="S200" s="3"/>
      <c r="T200" s="3"/>
      <c r="U200" s="3"/>
      <c r="V200" s="3"/>
    </row>
    <row r="201" spans="1:22" ht="31.5" x14ac:dyDescent="0.5">
      <c r="A201" s="3" t="s">
        <v>14</v>
      </c>
      <c r="B201" s="3" t="s">
        <v>1037</v>
      </c>
      <c r="C201" s="3" t="s">
        <v>1038</v>
      </c>
      <c r="D201" s="3" t="s">
        <v>1039</v>
      </c>
      <c r="E201" s="3" t="s">
        <v>18</v>
      </c>
      <c r="F201" s="3" t="s">
        <v>1040</v>
      </c>
      <c r="G201" s="3" t="s">
        <v>1041</v>
      </c>
      <c r="H201" s="3" t="s">
        <v>20</v>
      </c>
      <c r="I201" s="3" t="s">
        <v>263</v>
      </c>
      <c r="J201" s="3" t="s">
        <v>1042</v>
      </c>
      <c r="K201" s="3" t="s">
        <v>23</v>
      </c>
      <c r="L201" s="3" t="s">
        <v>1043</v>
      </c>
      <c r="M201" s="3" t="s">
        <v>1044</v>
      </c>
      <c r="N201" s="16" t="str">
        <f>HYPERLINK("https://electionmgmt.vermont.gov/TFA/DownLoadFinancialDisclosure?FileName=Brenda ChurchillConsent_19b268ee-f92a-47fe-a0b8-7fb3627eb477.pdf", "Brenda ChurchillConsent_19b268ee-f92a-47fe-a0b8-7fb3627eb477.pdf")</f>
        <v>Brenda ChurchillConsent_19b268ee-f92a-47fe-a0b8-7fb3627eb477.pdf</v>
      </c>
      <c r="O201" s="3"/>
      <c r="P201" s="3"/>
      <c r="Q201" s="3"/>
      <c r="R201" s="3"/>
      <c r="S201" s="3"/>
      <c r="T201" s="3"/>
      <c r="U201" s="3"/>
      <c r="V201" s="3"/>
    </row>
    <row r="202" spans="1:22" ht="31.5" x14ac:dyDescent="0.5">
      <c r="A202" s="3" t="s">
        <v>14</v>
      </c>
      <c r="B202" s="3" t="s">
        <v>1037</v>
      </c>
      <c r="C202" s="3" t="s">
        <v>1237</v>
      </c>
      <c r="D202" s="3" t="s">
        <v>1238</v>
      </c>
      <c r="E202" s="3" t="s">
        <v>76</v>
      </c>
      <c r="F202" s="3" t="s">
        <v>1239</v>
      </c>
      <c r="G202" s="3" t="s">
        <v>1238</v>
      </c>
      <c r="H202" s="3" t="s">
        <v>20</v>
      </c>
      <c r="I202" s="3" t="s">
        <v>1240</v>
      </c>
      <c r="J202" s="3" t="s">
        <v>1241</v>
      </c>
      <c r="K202" s="3" t="s">
        <v>23</v>
      </c>
      <c r="L202" s="3" t="s">
        <v>1242</v>
      </c>
      <c r="M202" s="3" t="s">
        <v>1243</v>
      </c>
      <c r="N202" s="16" t="str">
        <f>HYPERLINK("https://electionmgmt.vermont.gov/TFA/DownLoadFinancialDisclosure?FileName=James Gregoire Consent_04f39ae9-d368-4c26-87ba-e7c089f8cca7.pdf", "James Gregoire Consent_04f39ae9-d368-4c26-87ba-e7c089f8cca7.pdf")</f>
        <v>James Gregoire Consent_04f39ae9-d368-4c26-87ba-e7c089f8cca7.pdf</v>
      </c>
      <c r="O202" s="3"/>
      <c r="P202" s="3"/>
      <c r="Q202" s="3"/>
      <c r="R202" s="3"/>
      <c r="S202" s="3"/>
      <c r="T202" s="3"/>
      <c r="U202" s="3"/>
      <c r="V202" s="3"/>
    </row>
    <row r="203" spans="1:22" ht="31.5" x14ac:dyDescent="0.5">
      <c r="A203" s="3" t="s">
        <v>14</v>
      </c>
      <c r="B203" s="3" t="s">
        <v>2150</v>
      </c>
      <c r="C203" s="3" t="s">
        <v>2152</v>
      </c>
      <c r="D203" s="3" t="s">
        <v>2110</v>
      </c>
      <c r="E203" s="3" t="s">
        <v>76</v>
      </c>
      <c r="F203" s="3" t="s">
        <v>2153</v>
      </c>
      <c r="G203" s="3" t="s">
        <v>262</v>
      </c>
      <c r="H203" s="3" t="s">
        <v>20</v>
      </c>
      <c r="I203" s="3" t="s">
        <v>263</v>
      </c>
      <c r="J203" s="3" t="s">
        <v>23</v>
      </c>
      <c r="K203" s="3" t="s">
        <v>23</v>
      </c>
      <c r="L203" s="3" t="s">
        <v>2154</v>
      </c>
      <c r="M203" s="3" t="s">
        <v>23</v>
      </c>
      <c r="N203" s="16" t="str">
        <f>HYPERLINK("https://electionmgmt.vermont.gov/TFA/DownLoadFinancialDisclosure?FileName=PENNY_50fbd71f-68f9-4cc0-b0c7-df3b33a46267.pdf", "PENNY_50fbd71f-68f9-4cc0-b0c7-df3b33a46267.pdf")</f>
        <v>PENNY_50fbd71f-68f9-4cc0-b0c7-df3b33a46267.pdf</v>
      </c>
      <c r="O203" s="3"/>
      <c r="P203" s="3"/>
      <c r="Q203" s="3"/>
      <c r="R203" s="3"/>
      <c r="S203" s="3"/>
      <c r="T203" s="3"/>
      <c r="U203" s="3"/>
      <c r="V203" s="3"/>
    </row>
    <row r="204" spans="1:22" ht="31.5" x14ac:dyDescent="0.5">
      <c r="A204" s="3" t="s">
        <v>14</v>
      </c>
      <c r="B204" s="3" t="s">
        <v>2150</v>
      </c>
      <c r="C204" s="3" t="s">
        <v>2155</v>
      </c>
      <c r="D204" s="3" t="s">
        <v>2110</v>
      </c>
      <c r="E204" s="3" t="s">
        <v>76</v>
      </c>
      <c r="F204" s="3" t="s">
        <v>2156</v>
      </c>
      <c r="G204" s="3" t="s">
        <v>2110</v>
      </c>
      <c r="H204" s="3" t="s">
        <v>20</v>
      </c>
      <c r="I204" s="3" t="s">
        <v>263</v>
      </c>
      <c r="J204" s="3" t="s">
        <v>2157</v>
      </c>
      <c r="K204" s="3" t="s">
        <v>23</v>
      </c>
      <c r="L204" s="3" t="s">
        <v>2158</v>
      </c>
      <c r="M204" s="3" t="s">
        <v>23</v>
      </c>
      <c r="N204" s="16" t="str">
        <f>HYPERLINK("https://electionmgmt.vermont.gov/TFA/DownLoadFinancialDisclosure?FileName=ZM_2811193a-4435-40a9-a2c1-d9310c51c4cf.pdf", "ZM_2811193a-4435-40a9-a2c1-d9310c51c4cf.pdf")</f>
        <v>ZM_2811193a-4435-40a9-a2c1-d9310c51c4cf.pdf</v>
      </c>
      <c r="O204" s="3"/>
      <c r="P204" s="3"/>
      <c r="Q204" s="3"/>
      <c r="R204" s="3"/>
      <c r="S204" s="3"/>
      <c r="T204" s="3"/>
      <c r="U204" s="3"/>
      <c r="V204" s="3"/>
    </row>
    <row r="205" spans="1:22" ht="31.5" x14ac:dyDescent="0.5">
      <c r="A205" s="3" t="s">
        <v>14</v>
      </c>
      <c r="B205" s="3" t="s">
        <v>2150</v>
      </c>
      <c r="C205" s="3" t="s">
        <v>2109</v>
      </c>
      <c r="D205" s="3" t="s">
        <v>2110</v>
      </c>
      <c r="E205" s="3" t="s">
        <v>18</v>
      </c>
      <c r="F205" s="3" t="s">
        <v>2151</v>
      </c>
      <c r="G205" s="3" t="s">
        <v>2110</v>
      </c>
      <c r="H205" s="3" t="s">
        <v>20</v>
      </c>
      <c r="I205" s="3" t="s">
        <v>263</v>
      </c>
      <c r="J205" s="3" t="s">
        <v>2111</v>
      </c>
      <c r="K205" s="3" t="s">
        <v>23</v>
      </c>
      <c r="L205" s="3" t="s">
        <v>2112</v>
      </c>
      <c r="M205" s="3"/>
      <c r="N205" s="16" t="str">
        <f>HYPERLINK("https://electionmgmt.vermont.gov/TFA/DownLoadFinancialDisclosure?FileName=CW_eba29b2d-509b-4dd3-8e4e-fb8df3adb9c0.pdf", "CW_eba29b2d-509b-4dd3-8e4e-fb8df3adb9c0.pdf")</f>
        <v>CW_eba29b2d-509b-4dd3-8e4e-fb8df3adb9c0.pdf</v>
      </c>
      <c r="O205" s="3"/>
      <c r="P205" s="3"/>
      <c r="Q205" s="3"/>
      <c r="R205" s="3"/>
      <c r="S205" s="3"/>
      <c r="T205" s="3"/>
      <c r="U205" s="3"/>
      <c r="V205" s="3"/>
    </row>
    <row r="206" spans="1:22" ht="31.5" x14ac:dyDescent="0.5">
      <c r="A206" s="3" t="s">
        <v>14</v>
      </c>
      <c r="B206" s="3" t="s">
        <v>741</v>
      </c>
      <c r="C206" s="3" t="s">
        <v>742</v>
      </c>
      <c r="D206" s="3" t="s">
        <v>443</v>
      </c>
      <c r="E206" s="3" t="s">
        <v>18</v>
      </c>
      <c r="F206" s="3" t="s">
        <v>743</v>
      </c>
      <c r="G206" s="3" t="s">
        <v>443</v>
      </c>
      <c r="H206" s="3" t="s">
        <v>20</v>
      </c>
      <c r="I206" s="3" t="s">
        <v>236</v>
      </c>
      <c r="J206" s="3" t="s">
        <v>744</v>
      </c>
      <c r="K206" s="3" t="s">
        <v>23</v>
      </c>
      <c r="L206" s="3" t="s">
        <v>745</v>
      </c>
      <c r="M206" s="3" t="s">
        <v>746</v>
      </c>
      <c r="N206" s="16" t="str">
        <f>HYPERLINK("https://electionmgmt.vermont.gov/TFA/DownLoadFinancialDisclosure?FileName=Dees-Erickson Financial Disclosure_89113bf6-fd6e-4ba9-b2c1-a69e9d0d24bf.pdf", "Dees-Erickson Financial Disclosure_89113bf6-fd6e-4ba9-b2c1-a69e9d0d24bf.pdf")</f>
        <v>Dees-Erickson Financial Disclosure_89113bf6-fd6e-4ba9-b2c1-a69e9d0d24bf.pdf</v>
      </c>
      <c r="O206" s="3"/>
      <c r="P206" s="3"/>
      <c r="Q206" s="3"/>
      <c r="R206" s="3"/>
      <c r="S206" s="3"/>
      <c r="T206" s="3"/>
      <c r="U206" s="3"/>
      <c r="V206" s="3"/>
    </row>
    <row r="207" spans="1:22" ht="31.5" x14ac:dyDescent="0.5">
      <c r="A207" s="3" t="s">
        <v>14</v>
      </c>
      <c r="B207" s="3" t="s">
        <v>741</v>
      </c>
      <c r="C207" s="3" t="s">
        <v>1752</v>
      </c>
      <c r="D207" s="3" t="s">
        <v>233</v>
      </c>
      <c r="E207" s="3" t="s">
        <v>76</v>
      </c>
      <c r="F207" s="3" t="s">
        <v>1753</v>
      </c>
      <c r="G207" s="3" t="s">
        <v>233</v>
      </c>
      <c r="H207" s="3" t="s">
        <v>20</v>
      </c>
      <c r="I207" s="3" t="s">
        <v>236</v>
      </c>
      <c r="J207" s="3" t="s">
        <v>1754</v>
      </c>
      <c r="K207" s="3" t="s">
        <v>23</v>
      </c>
      <c r="L207" s="3" t="s">
        <v>1755</v>
      </c>
      <c r="M207" s="3" t="s">
        <v>1756</v>
      </c>
      <c r="N207" s="16" t="str">
        <f>HYPERLINK("https://electionmgmt.vermont.gov/TFA/DownLoadFinancialDisclosure?FileName=Toof Financial Disclosure_2e294477-1b73-4fb9-9d44-696fa8907683.pdf", "Toof Financial Disclosure_2e294477-1b73-4fb9-9d44-696fa8907683.pdf")</f>
        <v>Toof Financial Disclosure_2e294477-1b73-4fb9-9d44-696fa8907683.pdf</v>
      </c>
      <c r="O207" s="3"/>
      <c r="P207" s="3"/>
      <c r="Q207" s="3"/>
      <c r="R207" s="3"/>
      <c r="S207" s="3"/>
      <c r="T207" s="3"/>
      <c r="U207" s="3"/>
      <c r="V207" s="3"/>
    </row>
    <row r="208" spans="1:22" ht="31.5" x14ac:dyDescent="0.5">
      <c r="A208" s="3" t="s">
        <v>14</v>
      </c>
      <c r="B208" s="3" t="s">
        <v>1909</v>
      </c>
      <c r="C208" s="3" t="s">
        <v>2069</v>
      </c>
      <c r="D208" s="3" t="s">
        <v>654</v>
      </c>
      <c r="E208" s="3" t="s">
        <v>76</v>
      </c>
      <c r="F208" s="3" t="s">
        <v>1910</v>
      </c>
      <c r="G208" s="3" t="s">
        <v>654</v>
      </c>
      <c r="H208" s="3" t="s">
        <v>20</v>
      </c>
      <c r="I208" s="3" t="s">
        <v>656</v>
      </c>
      <c r="J208" s="3" t="s">
        <v>1911</v>
      </c>
      <c r="K208" s="3" t="s">
        <v>23</v>
      </c>
      <c r="L208" s="3" t="s">
        <v>1912</v>
      </c>
      <c r="M208" s="3"/>
      <c r="N208" s="16" t="str">
        <f>HYPERLINK("https://electionmgmt.vermont.gov/TFA/DownLoadFinancialDisclosure?FileName=MICHAEL R MORGAN FINANCIAL DISCLOSURE 2022_ad9ef695-84e9-4d66-bc36-e72864767a10.pdf", "MICHAEL R MORGAN FINANCIAL DISCLOSURE 2022_ad9ef695-84e9-4d66-bc36-e72864767a10.pdf")</f>
        <v>MICHAEL R MORGAN FINANCIAL DISCLOSURE 2022_ad9ef695-84e9-4d66-bc36-e72864767a10.pdf</v>
      </c>
      <c r="O208" s="3"/>
      <c r="P208" s="3"/>
      <c r="Q208" s="3"/>
      <c r="R208" s="3"/>
      <c r="S208" s="3"/>
      <c r="T208" s="3"/>
      <c r="U208" s="3"/>
      <c r="V208" s="3"/>
    </row>
    <row r="209" spans="1:22" ht="31.5" x14ac:dyDescent="0.5">
      <c r="A209" s="3" t="s">
        <v>14</v>
      </c>
      <c r="B209" s="3" t="s">
        <v>1909</v>
      </c>
      <c r="C209" s="3" t="s">
        <v>1913</v>
      </c>
      <c r="D209" s="3" t="s">
        <v>52</v>
      </c>
      <c r="E209" s="3" t="s">
        <v>76</v>
      </c>
      <c r="F209" s="3" t="s">
        <v>1914</v>
      </c>
      <c r="G209" s="3" t="s">
        <v>52</v>
      </c>
      <c r="H209" s="3" t="s">
        <v>20</v>
      </c>
      <c r="I209" s="3" t="s">
        <v>70</v>
      </c>
      <c r="J209" s="3" t="s">
        <v>1915</v>
      </c>
      <c r="K209" s="3" t="s">
        <v>23</v>
      </c>
      <c r="L209" s="3" t="s">
        <v>1916</v>
      </c>
      <c r="M209" s="3"/>
      <c r="N209" s="16" t="str">
        <f>HYPERLINK("https://electionmgmt.vermont.gov/TFA/DownLoadFinancialDisclosure?FileName=ANDY PARADEE FINANCIAL DISCLOSURE 2022_186427a8-4515-4371-a152-3e91a6a4dba2.pdf", "ANDY PARADEE FINANCIAL DISCLOSURE 2022_186427a8-4515-4371-a152-3e91a6a4dba2.pdf")</f>
        <v>ANDY PARADEE FINANCIAL DISCLOSURE 2022_186427a8-4515-4371-a152-3e91a6a4dba2.pdf</v>
      </c>
      <c r="O209" s="3"/>
      <c r="P209" s="3"/>
      <c r="Q209" s="3"/>
      <c r="R209" s="3"/>
      <c r="S209" s="3"/>
      <c r="T209" s="3"/>
      <c r="U209" s="3"/>
      <c r="V209" s="3"/>
    </row>
    <row r="210" spans="1:22" ht="31.5" x14ac:dyDescent="0.5">
      <c r="A210" s="3" t="s">
        <v>14</v>
      </c>
      <c r="B210" s="3" t="s">
        <v>564</v>
      </c>
      <c r="C210" s="3" t="s">
        <v>1045</v>
      </c>
      <c r="D210" s="3" t="s">
        <v>1046</v>
      </c>
      <c r="E210" s="3" t="s">
        <v>18</v>
      </c>
      <c r="F210" s="3" t="s">
        <v>1047</v>
      </c>
      <c r="G210" s="3" t="s">
        <v>1046</v>
      </c>
      <c r="H210" s="3" t="s">
        <v>20</v>
      </c>
      <c r="I210" s="3" t="s">
        <v>1048</v>
      </c>
      <c r="J210" s="3" t="s">
        <v>1049</v>
      </c>
      <c r="K210" s="3" t="s">
        <v>23</v>
      </c>
      <c r="L210" s="3" t="s">
        <v>1050</v>
      </c>
      <c r="M210" s="3" t="s">
        <v>1051</v>
      </c>
      <c r="N210" s="16" t="str">
        <f>HYPERLINK("https://electionmgmt.vermont.gov/TFA/DownLoadFinancialDisclosure?FileName=Financial Disclosure Forms Weathers_0d4447a1-570f-4d18-8ca3-0ed039e2a3fc.pdf", "Financial Disclosure Forms Weathers_0d4447a1-570f-4d18-8ca3-0ed039e2a3fc.pdf")</f>
        <v>Financial Disclosure Forms Weathers_0d4447a1-570f-4d18-8ca3-0ed039e2a3fc.pdf</v>
      </c>
      <c r="O210" s="3"/>
      <c r="P210" s="3"/>
      <c r="Q210" s="3"/>
      <c r="R210" s="3"/>
      <c r="S210" s="3"/>
      <c r="T210" s="3"/>
      <c r="U210" s="3"/>
      <c r="V210" s="3"/>
    </row>
    <row r="211" spans="1:22" ht="31.5" x14ac:dyDescent="0.5">
      <c r="A211" s="3" t="s">
        <v>14</v>
      </c>
      <c r="B211" s="3" t="s">
        <v>619</v>
      </c>
      <c r="C211" s="3" t="s">
        <v>1757</v>
      </c>
      <c r="D211" s="3" t="s">
        <v>438</v>
      </c>
      <c r="E211" s="3" t="s">
        <v>76</v>
      </c>
      <c r="F211" s="3" t="s">
        <v>1758</v>
      </c>
      <c r="G211" s="3" t="s">
        <v>438</v>
      </c>
      <c r="H211" s="3" t="s">
        <v>20</v>
      </c>
      <c r="I211" s="3" t="s">
        <v>439</v>
      </c>
      <c r="J211" s="3" t="s">
        <v>1759</v>
      </c>
      <c r="K211" s="3" t="s">
        <v>23</v>
      </c>
      <c r="L211" s="3" t="s">
        <v>1760</v>
      </c>
      <c r="M211" s="3" t="s">
        <v>23</v>
      </c>
      <c r="N211" s="16" t="str">
        <f>HYPERLINK("https://electionmgmt.vermont.gov/TFA/DownLoadFinancialDisclosure?FileName=bailey.2022_b5fb85d5-f4a2-4eb4-8a3e-d65b4625d38e.pdf", "bailey.2022_b5fb85d5-f4a2-4eb4-8a3e-d65b4625d38e.pdf")</f>
        <v>bailey.2022_b5fb85d5-f4a2-4eb4-8a3e-d65b4625d38e.pdf</v>
      </c>
      <c r="O211" s="3"/>
      <c r="P211" s="3"/>
      <c r="Q211" s="3"/>
      <c r="R211" s="3"/>
      <c r="S211" s="3"/>
      <c r="T211" s="3"/>
      <c r="U211" s="3"/>
      <c r="V211" s="3"/>
    </row>
    <row r="212" spans="1:22" ht="31.5" x14ac:dyDescent="0.5">
      <c r="A212" s="3" t="s">
        <v>14</v>
      </c>
      <c r="B212" s="3" t="s">
        <v>619</v>
      </c>
      <c r="C212" s="3" t="s">
        <v>620</v>
      </c>
      <c r="D212" s="3" t="s">
        <v>438</v>
      </c>
      <c r="E212" s="3" t="s">
        <v>18</v>
      </c>
      <c r="F212" s="3" t="s">
        <v>621</v>
      </c>
      <c r="G212" s="3" t="s">
        <v>438</v>
      </c>
      <c r="H212" s="3" t="s">
        <v>20</v>
      </c>
      <c r="I212" s="3" t="s">
        <v>439</v>
      </c>
      <c r="J212" s="3" t="s">
        <v>622</v>
      </c>
      <c r="K212" s="3" t="s">
        <v>23</v>
      </c>
      <c r="L212" s="3" t="s">
        <v>623</v>
      </c>
      <c r="M212" s="3" t="s">
        <v>624</v>
      </c>
      <c r="N212" s="16" t="str">
        <f>HYPERLINK("https://electionmgmt.vermont.gov/TFA/DownLoadFinancialDisclosure?FileName=DONNALLY2022_c8c4dbbf-9773-466d-9256-d8517b433a26.pdf", "DONNALLY2022_c8c4dbbf-9773-466d-9256-d8517b433a26.pdf")</f>
        <v>DONNALLY2022_c8c4dbbf-9773-466d-9256-d8517b433a26.pdf</v>
      </c>
      <c r="O212" s="3"/>
      <c r="P212" s="3"/>
      <c r="Q212" s="3"/>
      <c r="R212" s="3"/>
      <c r="S212" s="3"/>
      <c r="T212" s="3"/>
      <c r="U212" s="3"/>
      <c r="V212" s="3"/>
    </row>
    <row r="213" spans="1:22" ht="31.5" x14ac:dyDescent="0.5">
      <c r="A213" s="3" t="s">
        <v>14</v>
      </c>
      <c r="B213" s="3" t="s">
        <v>619</v>
      </c>
      <c r="C213" s="3" t="s">
        <v>625</v>
      </c>
      <c r="D213" s="3" t="s">
        <v>626</v>
      </c>
      <c r="E213" s="3" t="s">
        <v>18</v>
      </c>
      <c r="F213" s="3" t="s">
        <v>627</v>
      </c>
      <c r="G213" s="3" t="s">
        <v>626</v>
      </c>
      <c r="H213" s="3" t="s">
        <v>20</v>
      </c>
      <c r="I213" s="3" t="s">
        <v>628</v>
      </c>
      <c r="J213" s="3" t="s">
        <v>629</v>
      </c>
      <c r="K213" s="3" t="s">
        <v>23</v>
      </c>
      <c r="L213" s="3" t="s">
        <v>630</v>
      </c>
      <c r="M213" s="3" t="s">
        <v>631</v>
      </c>
      <c r="N213" s="16" t="str">
        <f>HYPERLINK("https://electionmgmt.vermont.gov/TFA/DownLoadFinancialDisclosure?FileName=NOYES2022_339df39e-fb89-4d79-9e39-7afbef2706b1.pdf", "NOYES2022_339df39e-fb89-4d79-9e39-7afbef2706b1.pdf")</f>
        <v>NOYES2022_339df39e-fb89-4d79-9e39-7afbef2706b1.pdf</v>
      </c>
      <c r="O213" s="3"/>
      <c r="P213" s="3"/>
      <c r="Q213" s="3"/>
      <c r="R213" s="3"/>
      <c r="S213" s="3"/>
      <c r="T213" s="3"/>
      <c r="U213" s="3"/>
      <c r="V213" s="3"/>
    </row>
    <row r="214" spans="1:22" ht="31.5" x14ac:dyDescent="0.5">
      <c r="A214" s="3" t="s">
        <v>14</v>
      </c>
      <c r="B214" s="3" t="s">
        <v>619</v>
      </c>
      <c r="C214" s="3" t="s">
        <v>1761</v>
      </c>
      <c r="D214" s="3" t="s">
        <v>438</v>
      </c>
      <c r="E214" s="3" t="s">
        <v>76</v>
      </c>
      <c r="F214" s="3" t="s">
        <v>1762</v>
      </c>
      <c r="G214" s="3" t="s">
        <v>438</v>
      </c>
      <c r="H214" s="3" t="s">
        <v>20</v>
      </c>
      <c r="I214" s="3" t="s">
        <v>439</v>
      </c>
      <c r="J214" s="3" t="s">
        <v>1763</v>
      </c>
      <c r="K214" s="3" t="s">
        <v>23</v>
      </c>
      <c r="L214" s="3" t="s">
        <v>1764</v>
      </c>
      <c r="M214" s="3" t="s">
        <v>23</v>
      </c>
      <c r="N214" s="16" t="str">
        <f>HYPERLINK("https://electionmgmt.vermont.gov/TFA/DownLoadFinancialDisclosure?FileName=teale.2022pdf_0863f058-9315-4932-9609-200f82f654c0.pdf", "teale.2022pdf_0863f058-9315-4932-9609-200f82f654c0.pdf")</f>
        <v>teale.2022pdf_0863f058-9315-4932-9609-200f82f654c0.pdf</v>
      </c>
      <c r="O214" s="3"/>
      <c r="P214" s="3"/>
      <c r="Q214" s="3"/>
      <c r="R214" s="3"/>
      <c r="S214" s="3"/>
      <c r="T214" s="3"/>
      <c r="U214" s="3"/>
      <c r="V214" s="3"/>
    </row>
    <row r="215" spans="1:22" ht="31.5" x14ac:dyDescent="0.5">
      <c r="A215" s="3" t="s">
        <v>14</v>
      </c>
      <c r="B215" s="3" t="s">
        <v>1244</v>
      </c>
      <c r="C215" s="3" t="s">
        <v>1531</v>
      </c>
      <c r="D215" s="3" t="s">
        <v>565</v>
      </c>
      <c r="E215" s="3" t="s">
        <v>18</v>
      </c>
      <c r="F215" s="3" t="s">
        <v>1532</v>
      </c>
      <c r="G215" s="3" t="s">
        <v>565</v>
      </c>
      <c r="H215" s="3" t="s">
        <v>20</v>
      </c>
      <c r="I215" s="3" t="s">
        <v>567</v>
      </c>
      <c r="J215" s="3" t="s">
        <v>1533</v>
      </c>
      <c r="K215" s="3" t="s">
        <v>23</v>
      </c>
      <c r="L215" s="3" t="s">
        <v>1534</v>
      </c>
      <c r="M215" s="3" t="s">
        <v>23</v>
      </c>
      <c r="N215" s="16" t="str">
        <f>HYPERLINK("https://electionmgmt.vermont.gov/TFA/DownLoadFinancialDisclosure?FileName=SKM_C30822052610490_8aed02f7-74fd-4499-befa-854572539d74.pdf", "SKM_C30822052610490_8aed02f7-74fd-4499-befa-854572539d74.pdf")</f>
        <v>SKM_C30822052610490_8aed02f7-74fd-4499-befa-854572539d74.pdf</v>
      </c>
      <c r="O215" s="3"/>
      <c r="P215" s="3"/>
      <c r="Q215" s="3"/>
      <c r="R215" s="3"/>
      <c r="S215" s="3"/>
      <c r="T215" s="3"/>
      <c r="U215" s="3"/>
      <c r="V215" s="3"/>
    </row>
    <row r="216" spans="1:22" ht="31.5" x14ac:dyDescent="0.5">
      <c r="A216" s="3" t="s">
        <v>14</v>
      </c>
      <c r="B216" s="3" t="s">
        <v>1244</v>
      </c>
      <c r="C216" s="3" t="s">
        <v>1245</v>
      </c>
      <c r="D216" s="3" t="s">
        <v>1246</v>
      </c>
      <c r="E216" s="3" t="s">
        <v>76</v>
      </c>
      <c r="F216" s="3" t="s">
        <v>1247</v>
      </c>
      <c r="G216" s="3" t="s">
        <v>1246</v>
      </c>
      <c r="H216" s="3" t="s">
        <v>20</v>
      </c>
      <c r="I216" s="3" t="s">
        <v>1248</v>
      </c>
      <c r="J216" s="3" t="s">
        <v>1249</v>
      </c>
      <c r="K216" s="3" t="s">
        <v>23</v>
      </c>
      <c r="L216" s="3" t="s">
        <v>1250</v>
      </c>
      <c r="M216" s="3" t="s">
        <v>23</v>
      </c>
      <c r="N216" s="16" t="str">
        <f>HYPERLINK("https://electionmgmt.vermont.gov/TFA/DownLoadFinancialDisclosure?FileName=SKM_C30822052513510_e82b55e6-e76d-48af-9407-043016c812a0.pdf", "SKM_C30822052513510_e82b55e6-e76d-48af-9407-043016c812a0.pdf")</f>
        <v>SKM_C30822052513510_e82b55e6-e76d-48af-9407-043016c812a0.pdf</v>
      </c>
      <c r="O216" s="3"/>
      <c r="P216" s="3"/>
      <c r="Q216" s="3"/>
      <c r="R216" s="3"/>
      <c r="S216" s="3"/>
      <c r="T216" s="3"/>
      <c r="U216" s="3"/>
      <c r="V216" s="3"/>
    </row>
    <row r="217" spans="1:22" ht="31.5" x14ac:dyDescent="0.5">
      <c r="A217" s="3" t="s">
        <v>14</v>
      </c>
      <c r="B217" s="3" t="s">
        <v>544</v>
      </c>
      <c r="C217" s="3" t="s">
        <v>1052</v>
      </c>
      <c r="D217" s="3" t="s">
        <v>303</v>
      </c>
      <c r="E217" s="3" t="s">
        <v>18</v>
      </c>
      <c r="F217" s="3" t="s">
        <v>1053</v>
      </c>
      <c r="G217" s="3" t="s">
        <v>1054</v>
      </c>
      <c r="H217" s="3" t="s">
        <v>20</v>
      </c>
      <c r="I217" s="3" t="s">
        <v>305</v>
      </c>
      <c r="J217" s="3" t="s">
        <v>1055</v>
      </c>
      <c r="K217" s="3" t="s">
        <v>23</v>
      </c>
      <c r="L217" s="3" t="s">
        <v>1056</v>
      </c>
      <c r="M217" s="3" t="s">
        <v>1057</v>
      </c>
      <c r="N217" s="16" t="str">
        <f>HYPERLINK("https://electionmgmt.vermont.gov/TFA/DownLoadFinancialDisclosure?FileName=Lamont S Financial Disclosure 2022_4e6702ea-8288-46f3-9c24-6831f75ba339.pdf", "Lamont S Financial Disclosure 2022_4e6702ea-8288-46f3-9c24-6831f75ba339.pdf")</f>
        <v>Lamont S Financial Disclosure 2022_4e6702ea-8288-46f3-9c24-6831f75ba339.pdf</v>
      </c>
      <c r="O217" s="3"/>
      <c r="P217" s="3"/>
      <c r="Q217" s="3"/>
      <c r="R217" s="3"/>
      <c r="S217" s="3"/>
      <c r="T217" s="3"/>
      <c r="U217" s="3"/>
      <c r="V217" s="3"/>
    </row>
    <row r="218" spans="1:22" ht="31.5" x14ac:dyDescent="0.5">
      <c r="A218" s="3" t="s">
        <v>14</v>
      </c>
      <c r="B218" s="3" t="s">
        <v>544</v>
      </c>
      <c r="C218" s="3" t="s">
        <v>1917</v>
      </c>
      <c r="D218" s="3" t="s">
        <v>303</v>
      </c>
      <c r="E218" s="3" t="s">
        <v>76</v>
      </c>
      <c r="F218" s="3" t="s">
        <v>1918</v>
      </c>
      <c r="G218" s="3" t="s">
        <v>303</v>
      </c>
      <c r="H218" s="3" t="s">
        <v>20</v>
      </c>
      <c r="I218" s="3" t="s">
        <v>305</v>
      </c>
      <c r="J218" s="3" t="s">
        <v>1919</v>
      </c>
      <c r="K218" s="3" t="s">
        <v>23</v>
      </c>
      <c r="L218" s="3" t="s">
        <v>1920</v>
      </c>
      <c r="M218" s="3" t="s">
        <v>2194</v>
      </c>
      <c r="N218" s="16" t="str">
        <f>HYPERLINK("https://electionmgmt.vermont.gov/TFA/DownLoadFinancialDisclosure?FileName=Loati N Financial Disclosure 2022_ffb59eb6-d314-411e-9209-537b121d7314.pdf", "Loati N Financial Disclosure 2022_ffb59eb6-d314-411e-9209-537b121d7314.pdf")</f>
        <v>Loati N Financial Disclosure 2022_ffb59eb6-d314-411e-9209-537b121d7314.pdf</v>
      </c>
      <c r="O218" s="3"/>
      <c r="P218" s="3"/>
      <c r="Q218" s="3"/>
      <c r="R218" s="3"/>
      <c r="S218" s="3"/>
      <c r="T218" s="3"/>
      <c r="U218" s="3"/>
      <c r="V218" s="3"/>
    </row>
    <row r="219" spans="1:22" ht="31.5" x14ac:dyDescent="0.5">
      <c r="A219" s="3" t="s">
        <v>14</v>
      </c>
      <c r="B219" s="3" t="s">
        <v>544</v>
      </c>
      <c r="C219" s="3" t="s">
        <v>1921</v>
      </c>
      <c r="D219" s="3" t="s">
        <v>303</v>
      </c>
      <c r="E219" s="3" t="s">
        <v>76</v>
      </c>
      <c r="F219" s="3" t="s">
        <v>2207</v>
      </c>
      <c r="G219" s="3" t="s">
        <v>303</v>
      </c>
      <c r="H219" s="3" t="s">
        <v>20</v>
      </c>
      <c r="I219" s="3" t="s">
        <v>305</v>
      </c>
      <c r="J219" s="3" t="s">
        <v>2208</v>
      </c>
      <c r="K219" s="3" t="s">
        <v>23</v>
      </c>
      <c r="L219" s="3" t="s">
        <v>2200</v>
      </c>
      <c r="M219" s="3"/>
      <c r="N219" s="16" t="str">
        <f>HYPERLINK("https://electionmgmt.vermont.gov/TFA/DownLoadFinancialDisclosure?FileName=Olsen B Financial Disclosure 2022_93684091-f711-4b05-83cb-2c31e26cce9f.pdf", "Olsen B Financial Disclosure 2022_93684091-f711-4b05-83cb-2c31e26cce9f.pdf")</f>
        <v>Olsen B Financial Disclosure 2022_93684091-f711-4b05-83cb-2c31e26cce9f.pdf</v>
      </c>
      <c r="O219" s="3"/>
      <c r="P219" s="3"/>
      <c r="Q219" s="3"/>
      <c r="R219" s="3"/>
      <c r="S219" s="3"/>
      <c r="T219" s="3"/>
      <c r="U219" s="3"/>
      <c r="V219" s="3"/>
    </row>
    <row r="220" spans="1:22" ht="31.5" x14ac:dyDescent="0.5">
      <c r="A220" s="3" t="s">
        <v>14</v>
      </c>
      <c r="B220" s="3" t="s">
        <v>544</v>
      </c>
      <c r="C220" s="3" t="s">
        <v>545</v>
      </c>
      <c r="D220" s="3" t="s">
        <v>546</v>
      </c>
      <c r="E220" s="3" t="s">
        <v>18</v>
      </c>
      <c r="F220" s="3" t="s">
        <v>547</v>
      </c>
      <c r="G220" s="3" t="s">
        <v>546</v>
      </c>
      <c r="H220" s="3" t="s">
        <v>20</v>
      </c>
      <c r="I220" s="3" t="s">
        <v>548</v>
      </c>
      <c r="J220" s="3" t="s">
        <v>549</v>
      </c>
      <c r="K220" s="3" t="s">
        <v>549</v>
      </c>
      <c r="L220" s="3" t="s">
        <v>550</v>
      </c>
      <c r="M220" s="3" t="s">
        <v>551</v>
      </c>
      <c r="N220" s="16" t="str">
        <f>HYPERLINK("https://electionmgmt.vermont.gov/TFA/DownLoadFinancialDisclosure?FileName=Patt A Financial Disclosure 2022_524a6334-e165-4ddc-a076-e29134462593.pdf", "Patt A Financial Disclosure 2022_524a6334-e165-4ddc-a076-e29134462593.pdf")</f>
        <v>Patt A Financial Disclosure 2022_524a6334-e165-4ddc-a076-e29134462593.pdf</v>
      </c>
      <c r="O220" s="3"/>
      <c r="P220" s="3"/>
      <c r="Q220" s="3"/>
      <c r="R220" s="3"/>
      <c r="S220" s="3"/>
      <c r="T220" s="3"/>
      <c r="U220" s="3"/>
      <c r="V220" s="3"/>
    </row>
    <row r="221" spans="1:22" ht="31.5" x14ac:dyDescent="0.5">
      <c r="A221" s="3" t="s">
        <v>14</v>
      </c>
      <c r="B221" s="3" t="s">
        <v>841</v>
      </c>
      <c r="C221" s="3" t="s">
        <v>842</v>
      </c>
      <c r="D221" s="3" t="s">
        <v>218</v>
      </c>
      <c r="E221" s="3" t="s">
        <v>18</v>
      </c>
      <c r="F221" s="3" t="s">
        <v>843</v>
      </c>
      <c r="G221" s="3" t="s">
        <v>218</v>
      </c>
      <c r="H221" s="3" t="s">
        <v>20</v>
      </c>
      <c r="I221" s="3" t="s">
        <v>220</v>
      </c>
      <c r="J221" s="3" t="s">
        <v>844</v>
      </c>
      <c r="K221" s="3" t="s">
        <v>844</v>
      </c>
      <c r="L221" s="3" t="s">
        <v>2204</v>
      </c>
      <c r="M221" s="3" t="s">
        <v>845</v>
      </c>
      <c r="N221" s="16" t="str">
        <f>HYPERLINK("https://electionmgmt.vermont.gov/TFA/DownLoadFinancialDisclosure?FileName=Demrow Carl FD_574d661a-72a6-4f4d-85c4-acfebd5c0533.pdf", "Demrow Carl FD_574d661a-72a6-4f4d-85c4-acfebd5c0533.pdf")</f>
        <v>Demrow Carl FD_574d661a-72a6-4f4d-85c4-acfebd5c0533.pdf</v>
      </c>
      <c r="O221" s="3"/>
      <c r="P221" s="3"/>
      <c r="Q221" s="3"/>
      <c r="R221" s="3"/>
      <c r="S221" s="3"/>
      <c r="T221" s="3"/>
      <c r="U221" s="3"/>
      <c r="V221" s="3"/>
    </row>
    <row r="222" spans="1:22" ht="31.5" x14ac:dyDescent="0.5">
      <c r="A222" s="3" t="s">
        <v>14</v>
      </c>
      <c r="B222" s="3" t="s">
        <v>841</v>
      </c>
      <c r="C222" s="3" t="s">
        <v>1765</v>
      </c>
      <c r="D222" s="3" t="s">
        <v>216</v>
      </c>
      <c r="E222" s="3" t="s">
        <v>76</v>
      </c>
      <c r="F222" s="3" t="s">
        <v>1766</v>
      </c>
      <c r="G222" s="3" t="s">
        <v>216</v>
      </c>
      <c r="H222" s="3" t="s">
        <v>20</v>
      </c>
      <c r="I222" s="3" t="s">
        <v>119</v>
      </c>
      <c r="J222" s="3" t="s">
        <v>1767</v>
      </c>
      <c r="K222" s="3" t="s">
        <v>1767</v>
      </c>
      <c r="L222" s="3" t="s">
        <v>1768</v>
      </c>
      <c r="M222" s="3" t="s">
        <v>1769</v>
      </c>
      <c r="N222" s="16" t="str">
        <f>HYPERLINK("https://electionmgmt.vermont.gov/TFA/DownLoadFinancialDisclosure?FileName=Slafevre1_0bf34ec6-e4cb-4cfb-ae69-1f697666f3a6.pdf", "Slafevre1_0bf34ec6-e4cb-4cfb-ae69-1f697666f3a6.pdf")</f>
        <v>Slafevre1_0bf34ec6-e4cb-4cfb-ae69-1f697666f3a6.pdf</v>
      </c>
      <c r="O222" s="3"/>
      <c r="P222" s="3"/>
      <c r="Q222" s="3"/>
      <c r="R222" s="3"/>
      <c r="S222" s="3"/>
      <c r="T222" s="3"/>
      <c r="U222" s="3"/>
      <c r="V222" s="3"/>
    </row>
    <row r="223" spans="1:22" ht="31.5" x14ac:dyDescent="0.5">
      <c r="A223" s="3" t="s">
        <v>14</v>
      </c>
      <c r="B223" s="3" t="s">
        <v>846</v>
      </c>
      <c r="C223" s="3" t="s">
        <v>2190</v>
      </c>
      <c r="D223" s="3" t="s">
        <v>761</v>
      </c>
      <c r="E223" s="3" t="s">
        <v>76</v>
      </c>
      <c r="F223" s="3" t="s">
        <v>2191</v>
      </c>
      <c r="G223" s="3" t="s">
        <v>761</v>
      </c>
      <c r="H223" s="3" t="s">
        <v>20</v>
      </c>
      <c r="I223" s="3" t="s">
        <v>763</v>
      </c>
      <c r="J223" s="3" t="s">
        <v>2192</v>
      </c>
      <c r="K223" s="3" t="s">
        <v>23</v>
      </c>
      <c r="L223" s="3" t="s">
        <v>2193</v>
      </c>
      <c r="M223" s="3"/>
      <c r="N223" s="16" t="str">
        <f>HYPERLINK("https://electionmgmt.vermont.gov/TFA/DownLoadFinancialDisclosure?FileName=Lang - Financial Disclosure_2fba5053-992c-4a66-bb53-4d507fc2ec89.pdf", "Lang - Financial Disclosure_2fba5053-992c-4a66-bb53-4d507fc2ec89.pdf")</f>
        <v>Lang - Financial Disclosure_2fba5053-992c-4a66-bb53-4d507fc2ec89.pdf</v>
      </c>
      <c r="O223" s="3"/>
      <c r="P223" s="3"/>
      <c r="Q223" s="3"/>
      <c r="R223" s="3"/>
      <c r="S223" s="3"/>
      <c r="T223" s="3"/>
      <c r="U223" s="3"/>
      <c r="V223" s="3"/>
    </row>
    <row r="224" spans="1:22" ht="31.5" x14ac:dyDescent="0.5">
      <c r="A224" s="3" t="s">
        <v>14</v>
      </c>
      <c r="B224" s="3" t="s">
        <v>846</v>
      </c>
      <c r="C224" s="3" t="s">
        <v>1058</v>
      </c>
      <c r="D224" s="3" t="s">
        <v>1059</v>
      </c>
      <c r="E224" s="3" t="s">
        <v>18</v>
      </c>
      <c r="F224" s="3" t="s">
        <v>1060</v>
      </c>
      <c r="G224" s="3" t="s">
        <v>1059</v>
      </c>
      <c r="H224" s="3" t="s">
        <v>20</v>
      </c>
      <c r="I224" s="3" t="s">
        <v>1061</v>
      </c>
      <c r="J224" s="3" t="s">
        <v>1062</v>
      </c>
      <c r="K224" s="3" t="s">
        <v>23</v>
      </c>
      <c r="L224" s="3" t="s">
        <v>1063</v>
      </c>
      <c r="M224" s="3" t="s">
        <v>23</v>
      </c>
      <c r="N224" s="16" t="str">
        <f>HYPERLINK("https://electionmgmt.vermont.gov/TFA/DownLoadFinancialDisclosure?FileName=L. M. Finance Disclosure_63073582-2110-4263-9aef-c635c8126ec1.pdf", "L. M. Finance Disclosure_63073582-2110-4263-9aef-c635c8126ec1.pdf")</f>
        <v>L. M. Finance Disclosure_63073582-2110-4263-9aef-c635c8126ec1.pdf</v>
      </c>
      <c r="O224" s="3"/>
      <c r="P224" s="3"/>
      <c r="Q224" s="3"/>
      <c r="R224" s="3"/>
      <c r="S224" s="3"/>
      <c r="T224" s="3"/>
      <c r="U224" s="3"/>
      <c r="V224" s="3"/>
    </row>
    <row r="225" spans="1:22" ht="31.5" x14ac:dyDescent="0.5">
      <c r="A225" s="3" t="s">
        <v>14</v>
      </c>
      <c r="B225" s="3" t="s">
        <v>846</v>
      </c>
      <c r="C225" s="3" t="s">
        <v>847</v>
      </c>
      <c r="D225" s="3" t="s">
        <v>761</v>
      </c>
      <c r="E225" s="3" t="s">
        <v>18</v>
      </c>
      <c r="F225" s="3" t="s">
        <v>848</v>
      </c>
      <c r="G225" s="3" t="s">
        <v>761</v>
      </c>
      <c r="H225" s="3" t="s">
        <v>20</v>
      </c>
      <c r="I225" s="3" t="s">
        <v>763</v>
      </c>
      <c r="J225" s="3" t="s">
        <v>849</v>
      </c>
      <c r="K225" s="3" t="s">
        <v>23</v>
      </c>
      <c r="L225" s="3" t="s">
        <v>850</v>
      </c>
      <c r="M225" s="3" t="s">
        <v>851</v>
      </c>
      <c r="N225" s="16" t="str">
        <f>HYPERLINK("https://electionmgmt.vermont.gov/TFA/DownLoadFinancialDisclosure?FileName=M. P. Financial Disclosure_d8b36130-0701-4b2d-a1e9-9152a54afef8.pdf", "M. P. Financial Disclosure_d8b36130-0701-4b2d-a1e9-9152a54afef8.pdf")</f>
        <v>M. P. Financial Disclosure_d8b36130-0701-4b2d-a1e9-9152a54afef8.pdf</v>
      </c>
      <c r="O225" s="3"/>
      <c r="P225" s="3"/>
      <c r="Q225" s="3"/>
      <c r="R225" s="3"/>
      <c r="S225" s="3"/>
      <c r="T225" s="3"/>
      <c r="U225" s="3"/>
      <c r="V225" s="3"/>
    </row>
    <row r="226" spans="1:22" ht="31.5" x14ac:dyDescent="0.5">
      <c r="A226" s="3" t="s">
        <v>14</v>
      </c>
      <c r="B226" s="3" t="s">
        <v>1542</v>
      </c>
      <c r="C226" s="3" t="s">
        <v>1770</v>
      </c>
      <c r="D226" s="3" t="s">
        <v>1375</v>
      </c>
      <c r="E226" s="3" t="s">
        <v>76</v>
      </c>
      <c r="F226" s="3" t="s">
        <v>1771</v>
      </c>
      <c r="G226" s="3" t="s">
        <v>1375</v>
      </c>
      <c r="H226" s="3" t="s">
        <v>20</v>
      </c>
      <c r="I226" s="3" t="s">
        <v>1377</v>
      </c>
      <c r="J226" s="3" t="s">
        <v>1772</v>
      </c>
      <c r="K226" s="3" t="s">
        <v>1772</v>
      </c>
      <c r="L226" s="3" t="s">
        <v>1773</v>
      </c>
      <c r="M226" s="3" t="s">
        <v>23</v>
      </c>
      <c r="N226" s="16" t="str">
        <f>HYPERLINK("https://electionmgmt.vermont.gov/TFA/DownLoadFinancialDisclosure?FileName=Financial Disclosure Form  Rodney Graham_a8f22874-68c5-4b6f-bc8e-96c5e8e28872.pdf", "Financial Disclosure Form  Rodney Graham_a8f22874-68c5-4b6f-bc8e-96c5e8e28872.pdf")</f>
        <v>Financial Disclosure Form  Rodney Graham_a8f22874-68c5-4b6f-bc8e-96c5e8e28872.pdf</v>
      </c>
      <c r="O226" s="3"/>
      <c r="P226" s="3"/>
      <c r="Q226" s="3"/>
      <c r="R226" s="3"/>
      <c r="S226" s="3"/>
      <c r="T226" s="3"/>
      <c r="U226" s="3"/>
      <c r="V226" s="3"/>
    </row>
    <row r="227" spans="1:22" ht="31.5" x14ac:dyDescent="0.5">
      <c r="A227" s="3" t="s">
        <v>14</v>
      </c>
      <c r="B227" s="3" t="s">
        <v>1542</v>
      </c>
      <c r="C227" s="3" t="s">
        <v>1543</v>
      </c>
      <c r="D227" s="3" t="s">
        <v>1375</v>
      </c>
      <c r="E227" s="3" t="s">
        <v>18</v>
      </c>
      <c r="F227" s="3" t="s">
        <v>1544</v>
      </c>
      <c r="G227" s="3" t="s">
        <v>1375</v>
      </c>
      <c r="H227" s="3" t="s">
        <v>20</v>
      </c>
      <c r="I227" s="3" t="s">
        <v>1377</v>
      </c>
      <c r="J227" s="3" t="s">
        <v>1545</v>
      </c>
      <c r="K227" s="3" t="s">
        <v>1545</v>
      </c>
      <c r="L227" s="3" t="s">
        <v>1546</v>
      </c>
      <c r="M227" s="3" t="s">
        <v>23</v>
      </c>
      <c r="N227" s="16" t="str">
        <f>HYPERLINK("https://electionmgmt.vermont.gov/TFA/DownLoadFinancialDisclosure?FileName=Financial Disclosure Form Seth Keighley_aa54c8ac-b181-44a7-ab07-564aa13b4a98.pdf", "Financial Disclosure Form Seth Keighley_aa54c8ac-b181-44a7-ab07-564aa13b4a98.pdf")</f>
        <v>Financial Disclosure Form Seth Keighley_aa54c8ac-b181-44a7-ab07-564aa13b4a98.pdf</v>
      </c>
      <c r="O227" s="3"/>
      <c r="P227" s="3"/>
      <c r="Q227" s="3"/>
      <c r="R227" s="3"/>
      <c r="S227" s="3"/>
      <c r="T227" s="3"/>
      <c r="U227" s="3"/>
      <c r="V227" s="3"/>
    </row>
    <row r="228" spans="1:22" ht="31.5" x14ac:dyDescent="0.5">
      <c r="A228" s="3" t="s">
        <v>14</v>
      </c>
      <c r="B228" s="3" t="s">
        <v>1535</v>
      </c>
      <c r="C228" s="3" t="s">
        <v>1774</v>
      </c>
      <c r="D228" s="3" t="s">
        <v>1537</v>
      </c>
      <c r="E228" s="3" t="s">
        <v>76</v>
      </c>
      <c r="F228" s="3" t="s">
        <v>1775</v>
      </c>
      <c r="G228" s="3" t="s">
        <v>761</v>
      </c>
      <c r="H228" s="3" t="s">
        <v>20</v>
      </c>
      <c r="I228" s="3" t="s">
        <v>763</v>
      </c>
      <c r="J228" s="3" t="s">
        <v>1776</v>
      </c>
      <c r="K228" s="3" t="s">
        <v>23</v>
      </c>
      <c r="L228" s="3" t="s">
        <v>1777</v>
      </c>
      <c r="M228" s="3" t="s">
        <v>23</v>
      </c>
      <c r="N228" s="16" t="str">
        <f>HYPERLINK("https://electionmgmt.vermont.gov/TFA/DownLoadFinancialDisclosure?FileName=PARSONS FINANCIAL_72d60954-cce3-4c9f-8077-71bd49f1a4b6.pdf", "PARSONS FINANCIAL_72d60954-cce3-4c9f-8077-71bd49f1a4b6.pdf")</f>
        <v>PARSONS FINANCIAL_72d60954-cce3-4c9f-8077-71bd49f1a4b6.pdf</v>
      </c>
      <c r="O228" s="3"/>
      <c r="P228" s="3"/>
      <c r="Q228" s="3"/>
      <c r="R228" s="3"/>
      <c r="S228" s="3"/>
      <c r="T228" s="3"/>
      <c r="U228" s="3"/>
      <c r="V228" s="3"/>
    </row>
    <row r="229" spans="1:22" ht="31.5" x14ac:dyDescent="0.5">
      <c r="A229" s="3" t="s">
        <v>14</v>
      </c>
      <c r="B229" s="3" t="s">
        <v>1535</v>
      </c>
      <c r="C229" s="3" t="s">
        <v>1536</v>
      </c>
      <c r="D229" s="3" t="s">
        <v>1537</v>
      </c>
      <c r="E229" s="3" t="s">
        <v>18</v>
      </c>
      <c r="F229" s="3" t="s">
        <v>1538</v>
      </c>
      <c r="G229" s="3" t="s">
        <v>1539</v>
      </c>
      <c r="H229" s="3" t="s">
        <v>20</v>
      </c>
      <c r="I229" s="3" t="s">
        <v>1540</v>
      </c>
      <c r="J229" s="3" t="s">
        <v>2188</v>
      </c>
      <c r="K229" s="3" t="s">
        <v>23</v>
      </c>
      <c r="L229" s="3" t="s">
        <v>1541</v>
      </c>
      <c r="M229" s="3" t="s">
        <v>2187</v>
      </c>
      <c r="N229" s="16" t="str">
        <f>HYPERLINK("https://electionmgmt.vermont.gov/TFA/DownLoadFinancialDisclosure?FileName=ROOT-WINCHESTER FINANCIAL_c14bfcb0-124d-4f14-ace4-dca41201d8a2.pdf", "ROOT-WINCHESTER FINANCIAL_c14bfcb0-124d-4f14-ace4-dca41201d8a2.pdf")</f>
        <v>ROOT-WINCHESTER FINANCIAL_c14bfcb0-124d-4f14-ace4-dca41201d8a2.pdf</v>
      </c>
      <c r="O229" s="3"/>
      <c r="P229" s="3"/>
      <c r="Q229" s="3"/>
      <c r="R229" s="3"/>
      <c r="S229" s="3"/>
      <c r="T229" s="3"/>
      <c r="U229" s="3"/>
      <c r="V229" s="3"/>
    </row>
    <row r="230" spans="1:22" ht="31.5" x14ac:dyDescent="0.5">
      <c r="A230" s="3" t="s">
        <v>14</v>
      </c>
      <c r="B230" s="3" t="s">
        <v>672</v>
      </c>
      <c r="C230" s="3" t="s">
        <v>747</v>
      </c>
      <c r="D230" s="3" t="s">
        <v>246</v>
      </c>
      <c r="E230" s="3" t="s">
        <v>18</v>
      </c>
      <c r="F230" s="3" t="s">
        <v>748</v>
      </c>
      <c r="G230" s="3" t="s">
        <v>516</v>
      </c>
      <c r="H230" s="3" t="s">
        <v>20</v>
      </c>
      <c r="I230" s="3" t="s">
        <v>517</v>
      </c>
      <c r="J230" s="3" t="s">
        <v>749</v>
      </c>
      <c r="K230" s="3" t="s">
        <v>23</v>
      </c>
      <c r="L230" s="3" t="s">
        <v>750</v>
      </c>
      <c r="M230" s="3" t="s">
        <v>751</v>
      </c>
      <c r="N230" s="16" t="str">
        <f>HYPERLINK("https://electionmgmt.vermont.gov/TFA/DownLoadFinancialDisclosure?FileName=hooper fin disc_20220523143916_5e249b4d-2d3d-4412-9261-3b2ddbb98bff.pdf", "hooper fin disc_20220523143916_5e249b4d-2d3d-4412-9261-3b2ddbb98bff.pdf")</f>
        <v>hooper fin disc_20220523143916_5e249b4d-2d3d-4412-9261-3b2ddbb98bff.pdf</v>
      </c>
      <c r="O230" s="3"/>
      <c r="P230" s="3"/>
      <c r="Q230" s="3"/>
      <c r="R230" s="3"/>
      <c r="S230" s="3"/>
      <c r="T230" s="3"/>
      <c r="U230" s="3"/>
      <c r="V230" s="3"/>
    </row>
    <row r="231" spans="1:22" ht="31.5" x14ac:dyDescent="0.5">
      <c r="A231" s="3" t="s">
        <v>14</v>
      </c>
      <c r="B231" s="3" t="s">
        <v>672</v>
      </c>
      <c r="C231" s="3" t="s">
        <v>1251</v>
      </c>
      <c r="D231" s="3" t="s">
        <v>1164</v>
      </c>
      <c r="E231" s="3" t="s">
        <v>76</v>
      </c>
      <c r="F231" s="3" t="s">
        <v>1165</v>
      </c>
      <c r="G231" s="3" t="s">
        <v>1164</v>
      </c>
      <c r="H231" s="3" t="s">
        <v>20</v>
      </c>
      <c r="I231" s="3" t="s">
        <v>1166</v>
      </c>
      <c r="J231" s="3" t="s">
        <v>1252</v>
      </c>
      <c r="K231" s="3" t="s">
        <v>23</v>
      </c>
      <c r="L231" s="3" t="s">
        <v>23</v>
      </c>
      <c r="M231" s="3" t="s">
        <v>1253</v>
      </c>
      <c r="N231" s="16" t="str">
        <f>HYPERLINK("https://electionmgmt.vermont.gov/TFA/DownLoadFinancialDisclosure?FileName=Klar fin disc_20220524151621_d387d891-212d-4823-b5a9-a5ab49e585dc.pdf", "Klar fin disc_20220524151621_d387d891-212d-4823-b5a9-a5ab49e585dc.pdf")</f>
        <v>Klar fin disc_20220524151621_d387d891-212d-4823-b5a9-a5ab49e585dc.pdf</v>
      </c>
      <c r="O231" s="3"/>
      <c r="P231" s="3"/>
      <c r="Q231" s="3"/>
      <c r="R231" s="3"/>
      <c r="S231" s="3"/>
      <c r="T231" s="3"/>
      <c r="U231" s="3"/>
      <c r="V231" s="3"/>
    </row>
    <row r="232" spans="1:22" ht="31.5" x14ac:dyDescent="0.5">
      <c r="A232" s="3" t="s">
        <v>14</v>
      </c>
      <c r="B232" s="3" t="s">
        <v>672</v>
      </c>
      <c r="C232" s="3" t="s">
        <v>673</v>
      </c>
      <c r="D232" s="3" t="s">
        <v>246</v>
      </c>
      <c r="E232" s="3" t="s">
        <v>18</v>
      </c>
      <c r="F232" s="3" t="s">
        <v>674</v>
      </c>
      <c r="G232" s="3" t="s">
        <v>246</v>
      </c>
      <c r="H232" s="3" t="s">
        <v>20</v>
      </c>
      <c r="I232" s="3" t="s">
        <v>248</v>
      </c>
      <c r="J232" s="3" t="s">
        <v>675</v>
      </c>
      <c r="K232" s="3" t="s">
        <v>23</v>
      </c>
      <c r="L232" s="3" t="s">
        <v>676</v>
      </c>
      <c r="M232" s="3" t="s">
        <v>677</v>
      </c>
      <c r="N232" s="16" t="str">
        <f>HYPERLINK("https://electionmgmt.vermont.gov/TFA/DownLoadFinancialDisclosure?FileName=satcowitz fin disc_20220523144240_e06532c2-b3b8-4755-84ed-f4bae649e809.pdf", "satcowitz fin disc_20220523144240_e06532c2-b3b8-4755-84ed-f4bae649e809.pdf")</f>
        <v>satcowitz fin disc_20220523144240_e06532c2-b3b8-4755-84ed-f4bae649e809.pdf</v>
      </c>
      <c r="O232" s="3"/>
      <c r="P232" s="3"/>
      <c r="Q232" s="3"/>
      <c r="R232" s="3"/>
      <c r="S232" s="3"/>
      <c r="T232" s="3"/>
      <c r="U232" s="3"/>
      <c r="V232" s="3"/>
    </row>
    <row r="233" spans="1:22" ht="31.5" x14ac:dyDescent="0.5">
      <c r="A233" s="3" t="s">
        <v>14</v>
      </c>
      <c r="B233" s="3" t="s">
        <v>672</v>
      </c>
      <c r="C233" s="3" t="s">
        <v>1254</v>
      </c>
      <c r="D233" s="3" t="s">
        <v>246</v>
      </c>
      <c r="E233" s="3" t="s">
        <v>76</v>
      </c>
      <c r="F233" s="3" t="s">
        <v>1255</v>
      </c>
      <c r="G233" s="3" t="s">
        <v>246</v>
      </c>
      <c r="H233" s="3" t="s">
        <v>20</v>
      </c>
      <c r="I233" s="3" t="s">
        <v>248</v>
      </c>
      <c r="J233" s="3" t="s">
        <v>1256</v>
      </c>
      <c r="K233" s="3" t="s">
        <v>23</v>
      </c>
      <c r="L233" s="3" t="s">
        <v>1257</v>
      </c>
      <c r="M233" s="3" t="s">
        <v>23</v>
      </c>
      <c r="N233" s="16" t="str">
        <f>HYPERLINK("https://electionmgmt.vermont.gov/TFA/DownLoadFinancialDisclosure?FileName=townsend fin disc_20220524133955_9ded0170-34c7-40a3-9019-ac30a7be4d8d.pdf", "townsend fin disc_20220524133955_9ded0170-34c7-40a3-9019-ac30a7be4d8d.pdf")</f>
        <v>townsend fin disc_20220524133955_9ded0170-34c7-40a3-9019-ac30a7be4d8d.pdf</v>
      </c>
      <c r="O233" s="3"/>
      <c r="P233" s="3"/>
      <c r="Q233" s="3"/>
      <c r="R233" s="3"/>
      <c r="S233" s="3"/>
      <c r="T233" s="3"/>
      <c r="U233" s="3"/>
      <c r="V233" s="3"/>
    </row>
    <row r="234" spans="1:22" ht="31.5" x14ac:dyDescent="0.5">
      <c r="A234" s="3" t="s">
        <v>14</v>
      </c>
      <c r="B234" s="3" t="s">
        <v>344</v>
      </c>
      <c r="C234" s="3" t="s">
        <v>1778</v>
      </c>
      <c r="D234" s="3" t="s">
        <v>110</v>
      </c>
      <c r="E234" s="3" t="s">
        <v>76</v>
      </c>
      <c r="F234" s="3" t="s">
        <v>1779</v>
      </c>
      <c r="G234" s="3" t="s">
        <v>110</v>
      </c>
      <c r="H234" s="3" t="s">
        <v>20</v>
      </c>
      <c r="I234" s="3" t="s">
        <v>112</v>
      </c>
      <c r="J234" s="3" t="s">
        <v>1780</v>
      </c>
      <c r="K234" s="3" t="s">
        <v>1781</v>
      </c>
      <c r="L234" s="3" t="s">
        <v>1782</v>
      </c>
      <c r="M234" s="3" t="s">
        <v>23</v>
      </c>
      <c r="N234" s="16" t="str">
        <f>HYPERLINK("https://electionmgmt.vermont.gov/TFA/DownLoadFinancialDisclosure?FileName=doc06004320220526085019_8c878c94-f7b5-4710-9668-74a206013727.pdf", "doc06004320220526085019_8c878c94-f7b5-4710-9668-74a206013727.pdf")</f>
        <v>doc06004320220526085019_8c878c94-f7b5-4710-9668-74a206013727.pdf</v>
      </c>
      <c r="O234" s="3"/>
      <c r="P234" s="3"/>
      <c r="Q234" s="3"/>
      <c r="R234" s="3"/>
      <c r="S234" s="3"/>
      <c r="T234" s="3"/>
      <c r="U234" s="3"/>
      <c r="V234" s="3"/>
    </row>
    <row r="235" spans="1:22" ht="31.5" x14ac:dyDescent="0.5">
      <c r="A235" s="3" t="s">
        <v>14</v>
      </c>
      <c r="B235" s="3" t="s">
        <v>1926</v>
      </c>
      <c r="C235" s="3" t="s">
        <v>1927</v>
      </c>
      <c r="D235" s="3" t="s">
        <v>1928</v>
      </c>
      <c r="E235" s="3" t="s">
        <v>76</v>
      </c>
      <c r="F235" s="3" t="s">
        <v>1929</v>
      </c>
      <c r="G235" s="3" t="s">
        <v>1928</v>
      </c>
      <c r="H235" s="3" t="s">
        <v>20</v>
      </c>
      <c r="I235" s="3" t="s">
        <v>914</v>
      </c>
      <c r="J235" s="3" t="s">
        <v>1930</v>
      </c>
      <c r="K235" s="3" t="s">
        <v>1930</v>
      </c>
      <c r="L235" s="3" t="s">
        <v>1931</v>
      </c>
      <c r="M235" s="3" t="s">
        <v>23</v>
      </c>
      <c r="N235" s="16"/>
      <c r="O235" s="3"/>
      <c r="P235" s="3"/>
      <c r="Q235" s="3"/>
      <c r="R235" s="3"/>
      <c r="S235" s="3"/>
      <c r="T235" s="3"/>
      <c r="U235" s="3"/>
      <c r="V235" s="3"/>
    </row>
    <row r="236" spans="1:22" ht="31.5" x14ac:dyDescent="0.5">
      <c r="A236" s="3" t="s">
        <v>14</v>
      </c>
      <c r="B236" s="3" t="s">
        <v>73</v>
      </c>
      <c r="C236" s="3" t="s">
        <v>74</v>
      </c>
      <c r="D236" s="3" t="s">
        <v>75</v>
      </c>
      <c r="E236" s="3" t="s">
        <v>76</v>
      </c>
      <c r="F236" s="3" t="s">
        <v>77</v>
      </c>
      <c r="G236" s="3" t="s">
        <v>78</v>
      </c>
      <c r="H236" s="3" t="s">
        <v>20</v>
      </c>
      <c r="I236" s="3" t="s">
        <v>79</v>
      </c>
      <c r="J236" s="3" t="s">
        <v>80</v>
      </c>
      <c r="K236" s="3" t="s">
        <v>23</v>
      </c>
      <c r="L236" s="3" t="s">
        <v>81</v>
      </c>
      <c r="M236" s="3" t="s">
        <v>23</v>
      </c>
      <c r="N236" s="16" t="str">
        <f>HYPERLINK("https://electionmgmt.vermont.gov/TFA/DownLoadFinancialDisclosure?FileName=COURCHAIN John House_6ea01709-30ae-4a13-89f4-819fbd259c2c.pdf", "COURCHAIN John House_6ea01709-30ae-4a13-89f4-819fbd259c2c.pdf")</f>
        <v>COURCHAIN John House_6ea01709-30ae-4a13-89f4-819fbd259c2c.pdf</v>
      </c>
      <c r="O236" s="3"/>
      <c r="P236" s="3"/>
      <c r="Q236" s="3"/>
      <c r="R236" s="3"/>
      <c r="S236" s="3"/>
      <c r="T236" s="3"/>
      <c r="U236" s="3"/>
      <c r="V236" s="3"/>
    </row>
    <row r="237" spans="1:22" ht="31.5" x14ac:dyDescent="0.5">
      <c r="A237" s="3" t="s">
        <v>14</v>
      </c>
      <c r="B237" s="3" t="s">
        <v>73</v>
      </c>
      <c r="C237" s="3" t="s">
        <v>852</v>
      </c>
      <c r="D237" s="3" t="s">
        <v>75</v>
      </c>
      <c r="E237" s="3" t="s">
        <v>18</v>
      </c>
      <c r="F237" s="3" t="s">
        <v>853</v>
      </c>
      <c r="G237" s="3" t="s">
        <v>75</v>
      </c>
      <c r="H237" s="3" t="s">
        <v>20</v>
      </c>
      <c r="I237" s="3" t="s">
        <v>854</v>
      </c>
      <c r="J237" s="3" t="s">
        <v>855</v>
      </c>
      <c r="K237" s="3" t="s">
        <v>23</v>
      </c>
      <c r="L237" s="3" t="s">
        <v>856</v>
      </c>
      <c r="M237" s="3" t="s">
        <v>857</v>
      </c>
      <c r="N237" s="16" t="str">
        <f>HYPERLINK("https://electionmgmt.vermont.gov/TFA/DownLoadFinancialDisclosure?FileName=doc00204820220524134722_59b5dc79-b9b8-470c-a52e-7cb6fa1b3448.pdf", "doc00204820220524134722_59b5dc79-b9b8-470c-a52e-7cb6fa1b3448.pdf")</f>
        <v>doc00204820220524134722_59b5dc79-b9b8-470c-a52e-7cb6fa1b3448.pdf</v>
      </c>
      <c r="O237" s="3"/>
      <c r="P237" s="3"/>
      <c r="Q237" s="3"/>
      <c r="R237" s="3"/>
      <c r="S237" s="3"/>
      <c r="T237" s="3"/>
      <c r="U237" s="3"/>
      <c r="V237" s="3"/>
    </row>
    <row r="238" spans="1:22" ht="31.5" x14ac:dyDescent="0.5">
      <c r="A238" s="3" t="s">
        <v>14</v>
      </c>
      <c r="B238" s="3" t="s">
        <v>73</v>
      </c>
      <c r="C238" s="3" t="s">
        <v>1258</v>
      </c>
      <c r="D238" s="3" t="s">
        <v>1259</v>
      </c>
      <c r="E238" s="3" t="s">
        <v>76</v>
      </c>
      <c r="F238" s="3" t="s">
        <v>1260</v>
      </c>
      <c r="G238" s="3" t="s">
        <v>1259</v>
      </c>
      <c r="H238" s="3" t="s">
        <v>20</v>
      </c>
      <c r="I238" s="3" t="s">
        <v>1261</v>
      </c>
      <c r="J238" s="3" t="s">
        <v>1262</v>
      </c>
      <c r="K238" s="3" t="s">
        <v>23</v>
      </c>
      <c r="L238" s="3" t="s">
        <v>1263</v>
      </c>
      <c r="M238" s="3" t="s">
        <v>1264</v>
      </c>
      <c r="N238" s="16" t="str">
        <f>HYPERLINK("https://electionmgmt.vermont.gov/TFA/DownLoadFinancialDisclosure?FileName=vicki-strong_f8d7f2e6-8c34-4d88-8fb1-c951a2a53a08.pdf", "vicki-strong_f8d7f2e6-8c34-4d88-8fb1-c951a2a53a08.pdf")</f>
        <v>vicki-strong_f8d7f2e6-8c34-4d88-8fb1-c951a2a53a08.pdf</v>
      </c>
      <c r="O238" s="3"/>
      <c r="P238" s="3"/>
      <c r="Q238" s="3"/>
      <c r="R238" s="3"/>
      <c r="S238" s="3"/>
      <c r="T238" s="3"/>
      <c r="U238" s="3"/>
      <c r="V238" s="3"/>
    </row>
    <row r="239" spans="1:22" ht="31.5" x14ac:dyDescent="0.5">
      <c r="A239" s="3" t="s">
        <v>14</v>
      </c>
      <c r="B239" s="3" t="s">
        <v>2139</v>
      </c>
      <c r="C239" s="3" t="s">
        <v>2140</v>
      </c>
      <c r="D239" s="3" t="s">
        <v>2141</v>
      </c>
      <c r="E239" s="3" t="s">
        <v>76</v>
      </c>
      <c r="F239" s="3" t="s">
        <v>2142</v>
      </c>
      <c r="G239" s="3" t="s">
        <v>2141</v>
      </c>
      <c r="H239" s="3" t="s">
        <v>20</v>
      </c>
      <c r="I239" s="3" t="s">
        <v>2143</v>
      </c>
      <c r="J239" s="3" t="s">
        <v>2144</v>
      </c>
      <c r="K239" s="3" t="s">
        <v>23</v>
      </c>
      <c r="L239" s="3" t="s">
        <v>2145</v>
      </c>
      <c r="M239" s="3" t="s">
        <v>23</v>
      </c>
      <c r="N239" s="16" t="str">
        <f>HYPERLINK("https://electionmgmt.vermont.gov/TFA/DownLoadFinancialDisclosure?FileName=mh_92c30c79-a569-4d20-bc44-e3ed0fff2693.pdf", "mh_92c30c79-a569-4d20-bc44-e3ed0fff2693.pdf")</f>
        <v>mh_92c30c79-a569-4d20-bc44-e3ed0fff2693.pdf</v>
      </c>
      <c r="O239" s="3"/>
      <c r="P239" s="3"/>
      <c r="Q239" s="3"/>
      <c r="R239" s="3"/>
      <c r="S239" s="3"/>
      <c r="T239" s="3"/>
      <c r="U239" s="3"/>
      <c r="V239" s="3"/>
    </row>
    <row r="240" spans="1:22" ht="31.5" x14ac:dyDescent="0.5">
      <c r="A240" s="3" t="s">
        <v>14</v>
      </c>
      <c r="B240" s="3" t="s">
        <v>2139</v>
      </c>
      <c r="C240" s="3" t="s">
        <v>2146</v>
      </c>
      <c r="D240" s="3" t="s">
        <v>591</v>
      </c>
      <c r="E240" s="3" t="s">
        <v>76</v>
      </c>
      <c r="F240" s="3" t="s">
        <v>2147</v>
      </c>
      <c r="G240" s="3" t="s">
        <v>591</v>
      </c>
      <c r="H240" s="3" t="s">
        <v>20</v>
      </c>
      <c r="I240" s="3" t="s">
        <v>592</v>
      </c>
      <c r="J240" s="3" t="s">
        <v>2148</v>
      </c>
      <c r="K240" s="3" t="s">
        <v>23</v>
      </c>
      <c r="L240" s="3" t="s">
        <v>2149</v>
      </c>
      <c r="M240" s="3" t="s">
        <v>23</v>
      </c>
      <c r="N240" s="16" t="str">
        <f>HYPERLINK("https://electionmgmt.vermont.gov/TFA/DownLoadFinancialDisclosure?FileName=MM_067a2bb1-ade6-46ea-893f-7c730ac47a41.pdf", "MM_067a2bb1-ade6-46ea-893f-7c730ac47a41.pdf")</f>
        <v>MM_067a2bb1-ade6-46ea-893f-7c730ac47a41.pdf</v>
      </c>
      <c r="O240" s="3"/>
      <c r="P240" s="3"/>
      <c r="Q240" s="3"/>
      <c r="R240" s="3"/>
      <c r="S240" s="3"/>
      <c r="T240" s="3"/>
      <c r="U240" s="3"/>
      <c r="V240" s="3"/>
    </row>
    <row r="241" spans="1:22" ht="31.5" x14ac:dyDescent="0.5">
      <c r="A241" s="3" t="s">
        <v>14</v>
      </c>
      <c r="B241" s="3" t="s">
        <v>946</v>
      </c>
      <c r="C241" s="3" t="s">
        <v>1265</v>
      </c>
      <c r="D241" s="3" t="s">
        <v>1182</v>
      </c>
      <c r="E241" s="3" t="s">
        <v>76</v>
      </c>
      <c r="F241" s="3" t="s">
        <v>1266</v>
      </c>
      <c r="G241" s="3" t="s">
        <v>1182</v>
      </c>
      <c r="H241" s="3" t="s">
        <v>20</v>
      </c>
      <c r="I241" s="3" t="s">
        <v>1184</v>
      </c>
      <c r="J241" s="3" t="s">
        <v>1267</v>
      </c>
      <c r="K241" s="3" t="s">
        <v>23</v>
      </c>
      <c r="L241" s="3" t="s">
        <v>1268</v>
      </c>
      <c r="M241" s="3" t="s">
        <v>23</v>
      </c>
      <c r="N241" s="16" t="str">
        <f>HYPERLINK("https://electionmgmt.vermont.gov/TFA/DownLoadFinancialDisclosure?FileName=McCoy Financial Disclosure Form 05-2022_877a8595-b232-4562-9897-4161a412ca28.pdf", "McCoy Financial Disclosure Form 05-2022_877a8595-b232-4562-9897-4161a412ca28.pdf")</f>
        <v>McCoy Financial Disclosure Form 05-2022_877a8595-b232-4562-9897-4161a412ca28.pdf</v>
      </c>
      <c r="O241" s="3"/>
      <c r="P241" s="3"/>
      <c r="Q241" s="3"/>
      <c r="R241" s="3"/>
      <c r="S241" s="3"/>
      <c r="T241" s="3"/>
      <c r="U241" s="3"/>
      <c r="V241" s="3"/>
    </row>
    <row r="242" spans="1:22" ht="31.5" x14ac:dyDescent="0.5">
      <c r="A242" s="3" t="s">
        <v>14</v>
      </c>
      <c r="B242" s="3" t="s">
        <v>858</v>
      </c>
      <c r="C242" s="3" t="s">
        <v>1783</v>
      </c>
      <c r="D242" s="3" t="s">
        <v>862</v>
      </c>
      <c r="E242" s="3" t="s">
        <v>76</v>
      </c>
      <c r="F242" s="3" t="s">
        <v>1784</v>
      </c>
      <c r="G242" s="3" t="s">
        <v>862</v>
      </c>
      <c r="H242" s="3" t="s">
        <v>20</v>
      </c>
      <c r="I242" s="3" t="s">
        <v>863</v>
      </c>
      <c r="J242" s="3" t="s">
        <v>1785</v>
      </c>
      <c r="K242" s="3" t="s">
        <v>1785</v>
      </c>
      <c r="L242" s="3" t="s">
        <v>1786</v>
      </c>
      <c r="M242" s="3"/>
      <c r="N242" s="16" t="str">
        <f>HYPERLINK("https://electionmgmt.vermont.gov/TFA/DownLoadFinancialDisclosure?FileName=Burditt_853daf33-ecf8-4df8-9215-8508209bdc31.pdf", "Burditt_853daf33-ecf8-4df8-9215-8508209bdc31.pdf")</f>
        <v>Burditt_853daf33-ecf8-4df8-9215-8508209bdc31.pdf</v>
      </c>
      <c r="O242" s="3"/>
      <c r="P242" s="3"/>
      <c r="Q242" s="3"/>
      <c r="R242" s="3"/>
      <c r="S242" s="3"/>
      <c r="T242" s="3"/>
      <c r="U242" s="3"/>
      <c r="V242" s="3"/>
    </row>
    <row r="243" spans="1:22" ht="31.5" x14ac:dyDescent="0.5">
      <c r="A243" s="3" t="s">
        <v>14</v>
      </c>
      <c r="B243" s="3" t="s">
        <v>858</v>
      </c>
      <c r="C243" s="3" t="s">
        <v>2093</v>
      </c>
      <c r="D243" s="3" t="s">
        <v>860</v>
      </c>
      <c r="E243" s="3" t="s">
        <v>76</v>
      </c>
      <c r="F243" s="3" t="s">
        <v>1281</v>
      </c>
      <c r="G243" s="3" t="s">
        <v>862</v>
      </c>
      <c r="H243" s="3" t="s">
        <v>20</v>
      </c>
      <c r="I243" s="3" t="s">
        <v>863</v>
      </c>
      <c r="J243" s="3" t="s">
        <v>23</v>
      </c>
      <c r="K243" s="3" t="s">
        <v>23</v>
      </c>
      <c r="L243" s="3" t="s">
        <v>23</v>
      </c>
      <c r="M243" s="3" t="s">
        <v>23</v>
      </c>
      <c r="N243" s="16" t="s">
        <v>23</v>
      </c>
      <c r="O243" s="3"/>
      <c r="P243" s="3"/>
      <c r="Q243" s="3"/>
      <c r="R243" s="3"/>
      <c r="S243" s="3"/>
      <c r="T243" s="3"/>
      <c r="U243" s="3"/>
      <c r="V243" s="3"/>
    </row>
    <row r="244" spans="1:22" ht="31.5" x14ac:dyDescent="0.5">
      <c r="A244" s="3" t="s">
        <v>14</v>
      </c>
      <c r="B244" s="3" t="s">
        <v>858</v>
      </c>
      <c r="C244" s="3" t="s">
        <v>1547</v>
      </c>
      <c r="D244" s="3" t="s">
        <v>597</v>
      </c>
      <c r="E244" s="3" t="s">
        <v>18</v>
      </c>
      <c r="F244" s="3" t="s">
        <v>1548</v>
      </c>
      <c r="G244" s="3" t="s">
        <v>597</v>
      </c>
      <c r="H244" s="3" t="s">
        <v>20</v>
      </c>
      <c r="I244" s="3" t="s">
        <v>598</v>
      </c>
      <c r="J244" s="3" t="s">
        <v>1549</v>
      </c>
      <c r="K244" s="3" t="s">
        <v>1549</v>
      </c>
      <c r="L244" s="3" t="s">
        <v>1550</v>
      </c>
      <c r="M244" s="3" t="s">
        <v>1551</v>
      </c>
      <c r="N244" s="16" t="str">
        <f>HYPERLINK("https://electionmgmt.vermont.gov/TFA/DownLoadFinancialDisclosure?FileName=Fredette_486e5c52-94a8-43fe-8497-32740d11143c.pdf", "Fredette_486e5c52-94a8-43fe-8497-32740d11143c.pdf")</f>
        <v>Fredette_486e5c52-94a8-43fe-8497-32740d11143c.pdf</v>
      </c>
      <c r="O244" s="3"/>
      <c r="P244" s="3"/>
      <c r="Q244" s="3"/>
      <c r="R244" s="3"/>
      <c r="S244" s="3"/>
      <c r="T244" s="3"/>
      <c r="U244" s="3"/>
      <c r="V244" s="3"/>
    </row>
    <row r="245" spans="1:22" ht="31.5" x14ac:dyDescent="0.5">
      <c r="A245" s="3" t="s">
        <v>14</v>
      </c>
      <c r="B245" s="3" t="s">
        <v>858</v>
      </c>
      <c r="C245" s="3" t="s">
        <v>859</v>
      </c>
      <c r="D245" s="3" t="s">
        <v>860</v>
      </c>
      <c r="E245" s="3" t="s">
        <v>18</v>
      </c>
      <c r="F245" s="3" t="s">
        <v>861</v>
      </c>
      <c r="G245" s="3" t="s">
        <v>862</v>
      </c>
      <c r="H245" s="3" t="s">
        <v>20</v>
      </c>
      <c r="I245" s="3" t="s">
        <v>863</v>
      </c>
      <c r="J245" s="3" t="s">
        <v>23</v>
      </c>
      <c r="K245" s="3" t="s">
        <v>23</v>
      </c>
      <c r="L245" s="3" t="s">
        <v>23</v>
      </c>
      <c r="M245" s="3" t="s">
        <v>23</v>
      </c>
      <c r="N245" s="16"/>
      <c r="O245" s="3"/>
      <c r="P245" s="3"/>
      <c r="Q245" s="3"/>
      <c r="R245" s="3"/>
      <c r="S245" s="3"/>
      <c r="T245" s="3"/>
      <c r="U245" s="3"/>
      <c r="V245" s="3"/>
    </row>
    <row r="246" spans="1:22" ht="31.5" x14ac:dyDescent="0.5">
      <c r="A246" s="3" t="s">
        <v>14</v>
      </c>
      <c r="B246" s="3" t="s">
        <v>1064</v>
      </c>
      <c r="C246" s="3" t="s">
        <v>1065</v>
      </c>
      <c r="D246" s="3" t="s">
        <v>1066</v>
      </c>
      <c r="E246" s="3" t="s">
        <v>18</v>
      </c>
      <c r="F246" s="3" t="s">
        <v>1067</v>
      </c>
      <c r="G246" s="3" t="s">
        <v>1066</v>
      </c>
      <c r="H246" s="3" t="s">
        <v>20</v>
      </c>
      <c r="I246" s="3" t="s">
        <v>1068</v>
      </c>
      <c r="J246" s="3" t="s">
        <v>1069</v>
      </c>
      <c r="K246" s="3" t="s">
        <v>23</v>
      </c>
      <c r="L246" s="3" t="s">
        <v>1070</v>
      </c>
      <c r="M246" s="3"/>
      <c r="N246" s="16" t="str">
        <f>HYPERLINK("https://electionmgmt.vermont.gov/TFA/DownLoadFinancialDisclosure?FileName=M Droege Financial Disclosure 2022_e1ff6a1a-e154-48a9-9ecd-4b1ab8b0ae1f.pdf", "M Droege Financial Disclosure 2022_e1ff6a1a-e154-48a9-9ecd-4b1ab8b0ae1f.pdf")</f>
        <v>M Droege Financial Disclosure 2022_e1ff6a1a-e154-48a9-9ecd-4b1ab8b0ae1f.pdf</v>
      </c>
      <c r="O246" s="3"/>
      <c r="P246" s="3"/>
      <c r="Q246" s="3"/>
      <c r="R246" s="3"/>
      <c r="S246" s="3"/>
      <c r="T246" s="3"/>
      <c r="U246" s="3"/>
      <c r="V246" s="3"/>
    </row>
    <row r="247" spans="1:22" ht="31.5" x14ac:dyDescent="0.5">
      <c r="A247" s="3" t="s">
        <v>14</v>
      </c>
      <c r="B247" s="3" t="s">
        <v>1064</v>
      </c>
      <c r="C247" s="3" t="s">
        <v>1282</v>
      </c>
      <c r="D247" s="3" t="s">
        <v>1066</v>
      </c>
      <c r="E247" s="3" t="s">
        <v>76</v>
      </c>
      <c r="F247" s="3" t="s">
        <v>1283</v>
      </c>
      <c r="G247" s="3" t="s">
        <v>1271</v>
      </c>
      <c r="H247" s="3" t="s">
        <v>20</v>
      </c>
      <c r="I247" s="3" t="s">
        <v>1273</v>
      </c>
      <c r="J247" s="3" t="s">
        <v>1284</v>
      </c>
      <c r="K247" s="3" t="s">
        <v>23</v>
      </c>
      <c r="L247" s="3" t="s">
        <v>1285</v>
      </c>
      <c r="M247" s="3"/>
      <c r="N247" s="16" t="str">
        <f>HYPERLINK("https://electionmgmt.vermont.gov/TFA/DownLoadFinancialDisclosure?FileName=J Sammis Financial Disclosure 2022_12e3ccbd-b319-4f2d-b7cf-98bf832916e4.pdf", "J Sammis Financial Disclosure 2022_12e3ccbd-b319-4f2d-b7cf-98bf832916e4.pdf")</f>
        <v>J Sammis Financial Disclosure 2022_12e3ccbd-b319-4f2d-b7cf-98bf832916e4.pdf</v>
      </c>
      <c r="O247" s="3"/>
      <c r="P247" s="3"/>
      <c r="Q247" s="3"/>
      <c r="R247" s="3"/>
      <c r="S247" s="3"/>
      <c r="T247" s="3"/>
      <c r="U247" s="3"/>
      <c r="V247" s="3"/>
    </row>
    <row r="248" spans="1:22" ht="31.5" x14ac:dyDescent="0.5">
      <c r="A248" s="3" t="s">
        <v>14</v>
      </c>
      <c r="B248" s="3" t="s">
        <v>199</v>
      </c>
      <c r="C248" s="3" t="s">
        <v>200</v>
      </c>
      <c r="D248" s="3" t="s">
        <v>201</v>
      </c>
      <c r="E248" s="3" t="s">
        <v>76</v>
      </c>
      <c r="F248" s="3" t="s">
        <v>202</v>
      </c>
      <c r="G248" s="3" t="s">
        <v>201</v>
      </c>
      <c r="H248" s="3" t="s">
        <v>20</v>
      </c>
      <c r="I248" s="3" t="s">
        <v>203</v>
      </c>
      <c r="J248" s="3" t="s">
        <v>204</v>
      </c>
      <c r="K248" s="3" t="s">
        <v>23</v>
      </c>
      <c r="L248" s="3" t="s">
        <v>205</v>
      </c>
      <c r="M248" s="3"/>
      <c r="N248" s="16" t="s">
        <v>468</v>
      </c>
      <c r="O248" s="3"/>
      <c r="P248" s="3"/>
      <c r="Q248" s="3"/>
      <c r="R248" s="3"/>
      <c r="S248" s="3"/>
      <c r="T248" s="3"/>
      <c r="U248" s="3"/>
      <c r="V248" s="3"/>
    </row>
    <row r="249" spans="1:22" ht="31.5" x14ac:dyDescent="0.5">
      <c r="A249" s="3" t="s">
        <v>14</v>
      </c>
      <c r="B249" s="3" t="s">
        <v>1286</v>
      </c>
      <c r="C249" s="3" t="s">
        <v>1287</v>
      </c>
      <c r="D249" s="3" t="s">
        <v>201</v>
      </c>
      <c r="E249" s="3" t="s">
        <v>76</v>
      </c>
      <c r="F249" s="3" t="s">
        <v>1288</v>
      </c>
      <c r="G249" s="3" t="s">
        <v>201</v>
      </c>
      <c r="H249" s="3" t="s">
        <v>20</v>
      </c>
      <c r="I249" s="3" t="s">
        <v>203</v>
      </c>
      <c r="J249" s="3" t="s">
        <v>1289</v>
      </c>
      <c r="K249" s="3" t="s">
        <v>23</v>
      </c>
      <c r="L249" s="3" t="s">
        <v>1290</v>
      </c>
      <c r="M249" s="3" t="s">
        <v>23</v>
      </c>
      <c r="N249" s="16" t="str">
        <f>HYPERLINK("https://electionmgmt.vermont.gov/TFA/DownLoadFinancialDisclosure?FileName=Scan_20220525_8ee4aa92-a8fa-457a-a21a-40050c598611.pdf", "Scan_20220525_8ee4aa92-a8fa-457a-a21a-40050c598611.pdf")</f>
        <v>Scan_20220525_8ee4aa92-a8fa-457a-a21a-40050c598611.pdf</v>
      </c>
      <c r="O249" s="3"/>
      <c r="P249" s="3"/>
      <c r="Q249" s="3"/>
      <c r="R249" s="3"/>
      <c r="S249" s="3"/>
      <c r="T249" s="3"/>
      <c r="U249" s="3"/>
      <c r="V249" s="3"/>
    </row>
    <row r="250" spans="1:22" ht="31.5" x14ac:dyDescent="0.5">
      <c r="A250" s="3" t="s">
        <v>14</v>
      </c>
      <c r="B250" s="3" t="s">
        <v>864</v>
      </c>
      <c r="C250" s="3" t="s">
        <v>865</v>
      </c>
      <c r="D250" s="3" t="s">
        <v>201</v>
      </c>
      <c r="E250" s="3" t="s">
        <v>18</v>
      </c>
      <c r="F250" s="3" t="s">
        <v>866</v>
      </c>
      <c r="G250" s="3" t="s">
        <v>223</v>
      </c>
      <c r="H250" s="3" t="s">
        <v>20</v>
      </c>
      <c r="I250" s="3" t="s">
        <v>867</v>
      </c>
      <c r="J250" s="3" t="s">
        <v>868</v>
      </c>
      <c r="K250" s="3" t="s">
        <v>23</v>
      </c>
      <c r="L250" s="3" t="s">
        <v>869</v>
      </c>
      <c r="M250" s="3" t="s">
        <v>23</v>
      </c>
      <c r="N250" s="16" t="str">
        <f>HYPERLINK("https://electionmgmt.vermont.gov/TFA/DownLoadFinancialDisclosure?FileName=Scan_20220524_2ab4b1a2-6e13-4bcf-8736-cc4f7d2dcae9.pdf", "Scan_20220524_2ab4b1a2-6e13-4bcf-8736-cc4f7d2dcae9.pdf")</f>
        <v>Scan_20220524_2ab4b1a2-6e13-4bcf-8736-cc4f7d2dcae9.pdf</v>
      </c>
      <c r="O250" s="3"/>
      <c r="P250" s="3"/>
      <c r="Q250" s="3"/>
      <c r="R250" s="3"/>
      <c r="S250" s="3"/>
      <c r="T250" s="3"/>
      <c r="U250" s="3"/>
      <c r="V250" s="3"/>
    </row>
    <row r="251" spans="1:22" ht="31.5" x14ac:dyDescent="0.5">
      <c r="A251" s="3" t="s">
        <v>14</v>
      </c>
      <c r="B251" s="3" t="s">
        <v>864</v>
      </c>
      <c r="C251" s="3" t="s">
        <v>1787</v>
      </c>
      <c r="D251" s="3" t="s">
        <v>201</v>
      </c>
      <c r="E251" s="3" t="s">
        <v>76</v>
      </c>
      <c r="F251" s="3" t="s">
        <v>1788</v>
      </c>
      <c r="G251" s="3" t="s">
        <v>201</v>
      </c>
      <c r="H251" s="3" t="s">
        <v>20</v>
      </c>
      <c r="I251" s="3" t="s">
        <v>203</v>
      </c>
      <c r="J251" s="3" t="s">
        <v>23</v>
      </c>
      <c r="K251" s="3" t="s">
        <v>23</v>
      </c>
      <c r="L251" s="3" t="s">
        <v>1789</v>
      </c>
      <c r="M251" s="3" t="s">
        <v>23</v>
      </c>
      <c r="N251" s="16" t="str">
        <f>HYPERLINK("https://electionmgmt.vermont.gov/TFA/DownLoadFinancialDisclosure?FileName=Scan_20220526_1e845104-240a-4406-8712-fe4400682419.pdf", "Scan_20220526_1e845104-240a-4406-8712-fe4400682419.pdf")</f>
        <v>Scan_20220526_1e845104-240a-4406-8712-fe4400682419.pdf</v>
      </c>
      <c r="O251" s="3"/>
      <c r="P251" s="3"/>
      <c r="Q251" s="3"/>
      <c r="R251" s="3"/>
      <c r="S251" s="3"/>
      <c r="T251" s="3"/>
      <c r="U251" s="3"/>
      <c r="V251" s="3"/>
    </row>
    <row r="252" spans="1:22" ht="31.5" x14ac:dyDescent="0.5">
      <c r="A252" s="3" t="s">
        <v>14</v>
      </c>
      <c r="B252" s="3" t="s">
        <v>321</v>
      </c>
      <c r="C252" s="3" t="s">
        <v>322</v>
      </c>
      <c r="D252" s="3" t="s">
        <v>201</v>
      </c>
      <c r="E252" s="3" t="s">
        <v>18</v>
      </c>
      <c r="F252" s="3" t="s">
        <v>323</v>
      </c>
      <c r="G252" s="3" t="s">
        <v>201</v>
      </c>
      <c r="H252" s="3" t="s">
        <v>20</v>
      </c>
      <c r="I252" s="3" t="s">
        <v>203</v>
      </c>
      <c r="J252" s="3" t="s">
        <v>324</v>
      </c>
      <c r="K252" s="3" t="s">
        <v>23</v>
      </c>
      <c r="L252" s="3" t="s">
        <v>325</v>
      </c>
      <c r="M252" s="3"/>
      <c r="N252" s="16" t="str">
        <f>HYPERLINK("https://electionmgmt.vermont.gov/TFA/DownLoadFinancialDisclosure?FileName=Scan_20220516_d7c4d025-14ae-4bda-a0d9-455e9d508c57.pdf", "Scan_20220516_d7c4d025-14ae-4bda-a0d9-455e9d508c57.pdf")</f>
        <v>Scan_20220516_d7c4d025-14ae-4bda-a0d9-455e9d508c57.pdf</v>
      </c>
      <c r="O252" s="3"/>
      <c r="P252" s="3"/>
      <c r="Q252" s="3"/>
      <c r="R252" s="3"/>
      <c r="S252" s="3"/>
      <c r="T252" s="3"/>
      <c r="U252" s="3"/>
      <c r="V252" s="3"/>
    </row>
    <row r="253" spans="1:22" ht="31.5" x14ac:dyDescent="0.5">
      <c r="A253" s="3" t="s">
        <v>14</v>
      </c>
      <c r="B253" s="3" t="s">
        <v>1790</v>
      </c>
      <c r="C253" s="3" t="s">
        <v>1791</v>
      </c>
      <c r="D253" s="3" t="s">
        <v>1792</v>
      </c>
      <c r="E253" s="3" t="s">
        <v>76</v>
      </c>
      <c r="F253" s="3" t="s">
        <v>1793</v>
      </c>
      <c r="G253" s="3" t="s">
        <v>1792</v>
      </c>
      <c r="H253" s="3" t="s">
        <v>20</v>
      </c>
      <c r="I253" s="3" t="s">
        <v>1794</v>
      </c>
      <c r="J253" s="3" t="s">
        <v>1795</v>
      </c>
      <c r="K253" s="3" t="s">
        <v>1795</v>
      </c>
      <c r="L253" s="3" t="s">
        <v>1796</v>
      </c>
      <c r="M253" s="3" t="s">
        <v>23</v>
      </c>
      <c r="N253" s="16" t="str">
        <f>HYPERLINK("https://electionmgmt.vermont.gov/TFA/DownLoadFinancialDisclosure?FileName=Shaw Butch FD_f53f2b38-fd57-4336-89de-e142aaaf3aa7.pdf", "Shaw Butch FD_f53f2b38-fd57-4336-89de-e142aaaf3aa7.pdf")</f>
        <v>Shaw Butch FD_f53f2b38-fd57-4336-89de-e142aaaf3aa7.pdf</v>
      </c>
      <c r="O253" s="3"/>
      <c r="P253" s="3"/>
      <c r="Q253" s="3"/>
      <c r="R253" s="3"/>
      <c r="S253" s="3"/>
      <c r="T253" s="3"/>
      <c r="U253" s="3"/>
      <c r="V253" s="3"/>
    </row>
    <row r="254" spans="1:22" ht="31.5" x14ac:dyDescent="0.5">
      <c r="A254" s="3" t="s">
        <v>14</v>
      </c>
      <c r="B254" s="3" t="s">
        <v>180</v>
      </c>
      <c r="C254" s="3" t="s">
        <v>181</v>
      </c>
      <c r="D254" s="3" t="s">
        <v>182</v>
      </c>
      <c r="E254" s="3" t="s">
        <v>18</v>
      </c>
      <c r="F254" s="3" t="s">
        <v>183</v>
      </c>
      <c r="G254" s="3" t="s">
        <v>182</v>
      </c>
      <c r="H254" s="3" t="s">
        <v>20</v>
      </c>
      <c r="I254" s="3" t="s">
        <v>184</v>
      </c>
      <c r="J254" s="3" t="s">
        <v>185</v>
      </c>
      <c r="K254" s="3" t="s">
        <v>185</v>
      </c>
      <c r="L254" s="3" t="s">
        <v>186</v>
      </c>
      <c r="M254" s="3" t="s">
        <v>187</v>
      </c>
      <c r="N254" s="16" t="str">
        <f>HYPERLINK("https://electionmgmt.vermont.gov/TFA/DownLoadFinancialDisclosure?FileName=JEROME  FINANCIAL DISCLOSURE_0eb0fd01-e9a7-4efc-bb13-cac8d46f3724.pdf", "JEROME  FINANCIAL DISCLOSURE_0eb0fd01-e9a7-4efc-bb13-cac8d46f3724.pdf")</f>
        <v>JEROME  FINANCIAL DISCLOSURE_0eb0fd01-e9a7-4efc-bb13-cac8d46f3724.pdf</v>
      </c>
      <c r="O254" s="3"/>
      <c r="P254" s="3"/>
      <c r="Q254" s="3"/>
      <c r="R254" s="3"/>
      <c r="S254" s="3"/>
      <c r="T254" s="3"/>
      <c r="U254" s="3"/>
      <c r="V254" s="3"/>
    </row>
    <row r="255" spans="1:22" ht="31.5" x14ac:dyDescent="0.5">
      <c r="A255" s="3" t="s">
        <v>14</v>
      </c>
      <c r="B255" s="3" t="s">
        <v>1269</v>
      </c>
      <c r="C255" s="3" t="s">
        <v>1270</v>
      </c>
      <c r="D255" s="3" t="s">
        <v>1271</v>
      </c>
      <c r="E255" s="3" t="s">
        <v>76</v>
      </c>
      <c r="F255" s="3" t="s">
        <v>1272</v>
      </c>
      <c r="G255" s="3" t="s">
        <v>1271</v>
      </c>
      <c r="H255" s="3" t="s">
        <v>20</v>
      </c>
      <c r="I255" s="3" t="s">
        <v>1273</v>
      </c>
      <c r="J255" s="3" t="s">
        <v>23</v>
      </c>
      <c r="K255" s="3" t="s">
        <v>23</v>
      </c>
      <c r="L255" s="3" t="s">
        <v>23</v>
      </c>
      <c r="M255" s="3" t="s">
        <v>23</v>
      </c>
      <c r="N255" s="16" t="str">
        <f>HYPERLINK("https://electionmgmt.vermont.gov/TFA/DownLoadFinancialDisclosure?FileName=Canfield William  Financials_a86d91f0-d965-4b42-92da-b9c59492e188.pdf", "Canfield William  Financials_a86d91f0-d965-4b42-92da-b9c59492e188.pdf")</f>
        <v>Canfield William  Financials_a86d91f0-d965-4b42-92da-b9c59492e188.pdf</v>
      </c>
      <c r="O255" s="3"/>
      <c r="P255" s="3"/>
      <c r="Q255" s="3"/>
      <c r="R255" s="3"/>
      <c r="S255" s="3"/>
      <c r="T255" s="3"/>
      <c r="U255" s="3"/>
      <c r="V255" s="3"/>
    </row>
    <row r="256" spans="1:22" ht="31.5" x14ac:dyDescent="0.5">
      <c r="A256" s="3" t="s">
        <v>14</v>
      </c>
      <c r="B256" s="3" t="s">
        <v>1274</v>
      </c>
      <c r="C256" s="3" t="s">
        <v>1275</v>
      </c>
      <c r="D256" s="3" t="s">
        <v>38</v>
      </c>
      <c r="E256" s="3" t="s">
        <v>76</v>
      </c>
      <c r="F256" s="3" t="s">
        <v>1276</v>
      </c>
      <c r="G256" s="3" t="s">
        <v>38</v>
      </c>
      <c r="H256" s="3" t="s">
        <v>20</v>
      </c>
      <c r="I256" s="3" t="s">
        <v>1277</v>
      </c>
      <c r="J256" s="3" t="s">
        <v>1278</v>
      </c>
      <c r="K256" s="3" t="s">
        <v>1278</v>
      </c>
      <c r="L256" s="3" t="s">
        <v>1279</v>
      </c>
      <c r="M256" s="3" t="s">
        <v>1280</v>
      </c>
      <c r="N256" s="16" t="str">
        <f>HYPERLINK("https://electionmgmt.vermont.gov/TFA/DownLoadFinancialDisclosure?FileName=Candidate Finance Disclosure-Jim Harrison_68fc9ea0-f325-4774-8859-db07dff81c74.pdf", "Candidate Finance Disclosure-Jim Harrison_68fc9ea0-f325-4774-8859-db07dff81c74.pdf")</f>
        <v>Candidate Finance Disclosure-Jim Harrison_68fc9ea0-f325-4774-8859-db07dff81c74.pdf</v>
      </c>
      <c r="O256" s="3"/>
      <c r="P256" s="3"/>
      <c r="Q256" s="3"/>
      <c r="R256" s="3"/>
      <c r="S256" s="3"/>
      <c r="T256" s="3"/>
      <c r="U256" s="3"/>
      <c r="V256" s="3"/>
    </row>
    <row r="257" spans="1:22" ht="31.5" x14ac:dyDescent="0.5">
      <c r="A257" s="3" t="s">
        <v>14</v>
      </c>
      <c r="B257" s="3" t="s">
        <v>1291</v>
      </c>
      <c r="C257" s="3" t="s">
        <v>1292</v>
      </c>
      <c r="D257" s="3" t="s">
        <v>1293</v>
      </c>
      <c r="E257" s="3" t="s">
        <v>76</v>
      </c>
      <c r="F257" s="3" t="s">
        <v>1294</v>
      </c>
      <c r="G257" s="3" t="s">
        <v>1293</v>
      </c>
      <c r="H257" s="3" t="s">
        <v>20</v>
      </c>
      <c r="I257" s="3" t="s">
        <v>1295</v>
      </c>
      <c r="J257" s="3" t="s">
        <v>1296</v>
      </c>
      <c r="K257" s="3" t="s">
        <v>1297</v>
      </c>
      <c r="L257" s="3" t="s">
        <v>1298</v>
      </c>
      <c r="M257" s="3" t="s">
        <v>1299</v>
      </c>
      <c r="N257" s="16" t="str">
        <f>HYPERLINK("https://electionmgmt.vermont.gov/TFA/DownLoadFinancialDisclosure?FileName=Achey Fin Stmnt_95f8c794-2861-4674-ac82-06e9f39cdb1c.pdf", "Achey Fin Stmnt_95f8c794-2861-4674-ac82-06e9f39cdb1c.pdf")</f>
        <v>Achey Fin Stmnt_95f8c794-2861-4674-ac82-06e9f39cdb1c.pdf</v>
      </c>
      <c r="O257" s="3"/>
      <c r="P257" s="3"/>
      <c r="Q257" s="3"/>
      <c r="R257" s="3"/>
      <c r="S257" s="3"/>
      <c r="T257" s="3"/>
      <c r="U257" s="3"/>
      <c r="V257" s="3"/>
    </row>
    <row r="258" spans="1:22" ht="31.5" x14ac:dyDescent="0.5">
      <c r="A258" s="3" t="s">
        <v>14</v>
      </c>
      <c r="B258" s="3" t="s">
        <v>1291</v>
      </c>
      <c r="C258" s="3" t="s">
        <v>1552</v>
      </c>
      <c r="D258" s="3" t="s">
        <v>1293</v>
      </c>
      <c r="E258" s="3" t="s">
        <v>18</v>
      </c>
      <c r="F258" s="3" t="s">
        <v>1553</v>
      </c>
      <c r="G258" s="3" t="s">
        <v>1293</v>
      </c>
      <c r="H258" s="3" t="s">
        <v>20</v>
      </c>
      <c r="I258" s="3" t="s">
        <v>1295</v>
      </c>
      <c r="J258" s="3" t="s">
        <v>1554</v>
      </c>
      <c r="K258" s="3" t="s">
        <v>1554</v>
      </c>
      <c r="L258" s="3" t="s">
        <v>1555</v>
      </c>
      <c r="M258" s="3" t="s">
        <v>23</v>
      </c>
      <c r="N258" s="16" t="str">
        <f>HYPERLINK("https://electionmgmt.vermont.gov/TFA/DownLoadFinancialDisclosure?FileName=Hoyt Fin Disclosure_951acf92-528f-48b5-96aa-8db487b203ee.pdf", "Hoyt Fin Disclosure_951acf92-528f-48b5-96aa-8db487b203ee.pdf")</f>
        <v>Hoyt Fin Disclosure_951acf92-528f-48b5-96aa-8db487b203ee.pdf</v>
      </c>
      <c r="O258" s="3"/>
      <c r="P258" s="3"/>
      <c r="Q258" s="3"/>
      <c r="R258" s="3"/>
      <c r="S258" s="3"/>
      <c r="T258" s="3"/>
      <c r="U258" s="3"/>
      <c r="V258" s="3"/>
    </row>
    <row r="259" spans="1:22" ht="31.5" x14ac:dyDescent="0.5">
      <c r="A259" s="3" t="s">
        <v>14</v>
      </c>
      <c r="B259" s="3" t="s">
        <v>1562</v>
      </c>
      <c r="C259" s="3" t="s">
        <v>1563</v>
      </c>
      <c r="D259" s="3" t="s">
        <v>194</v>
      </c>
      <c r="E259" s="3" t="s">
        <v>18</v>
      </c>
      <c r="F259" s="3" t="s">
        <v>1564</v>
      </c>
      <c r="G259" s="3" t="s">
        <v>194</v>
      </c>
      <c r="H259" s="3" t="s">
        <v>20</v>
      </c>
      <c r="I259" s="3" t="s">
        <v>196</v>
      </c>
      <c r="J259" s="3" t="s">
        <v>1565</v>
      </c>
      <c r="K259" s="3" t="s">
        <v>1565</v>
      </c>
      <c r="L259" s="3" t="s">
        <v>1566</v>
      </c>
      <c r="M259" s="3" t="s">
        <v>1567</v>
      </c>
      <c r="N259" s="16"/>
      <c r="O259" s="3"/>
      <c r="P259" s="3"/>
      <c r="Q259" s="3"/>
      <c r="R259" s="3"/>
      <c r="S259" s="3"/>
      <c r="T259" s="3"/>
      <c r="U259" s="3"/>
      <c r="V259" s="3"/>
    </row>
    <row r="260" spans="1:22" ht="31.5" x14ac:dyDescent="0.5">
      <c r="A260" s="3" t="s">
        <v>14</v>
      </c>
      <c r="B260" s="3" t="s">
        <v>339</v>
      </c>
      <c r="C260" s="3" t="s">
        <v>340</v>
      </c>
      <c r="D260" s="3" t="s">
        <v>341</v>
      </c>
      <c r="E260" s="3" t="s">
        <v>76</v>
      </c>
      <c r="F260" s="3" t="s">
        <v>342</v>
      </c>
      <c r="G260" s="3" t="s">
        <v>341</v>
      </c>
      <c r="H260" s="3" t="s">
        <v>20</v>
      </c>
      <c r="I260" s="3" t="s">
        <v>343</v>
      </c>
      <c r="J260" s="3" t="s">
        <v>2169</v>
      </c>
      <c r="K260" s="3" t="s">
        <v>23</v>
      </c>
      <c r="L260" s="3" t="s">
        <v>23</v>
      </c>
      <c r="M260" s="3" t="s">
        <v>23</v>
      </c>
      <c r="N260" s="16" t="str">
        <f>HYPERLINK("https://electionmgmt.vermont.gov/TFA/DownLoadFinancialDisclosure?FileName=ad_20220516090738_88470470-7374-42ab-abf5-682d874dc454.pdf", "ad_20220516090738_88470470-7374-42ab-abf5-682d874dc454.pdf")</f>
        <v>ad_20220516090738_88470470-7374-42ab-abf5-682d874dc454.pdf</v>
      </c>
      <c r="O260" s="3"/>
      <c r="P260" s="3"/>
      <c r="Q260" s="3"/>
      <c r="R260" s="3"/>
      <c r="S260" s="3"/>
      <c r="T260" s="3"/>
      <c r="U260" s="3"/>
      <c r="V260" s="3"/>
    </row>
    <row r="261" spans="1:22" ht="31.5" x14ac:dyDescent="0.5">
      <c r="A261" s="3" t="s">
        <v>14</v>
      </c>
      <c r="B261" s="3" t="s">
        <v>339</v>
      </c>
      <c r="C261" s="3" t="s">
        <v>1300</v>
      </c>
      <c r="D261" s="3" t="s">
        <v>341</v>
      </c>
      <c r="E261" s="3" t="s">
        <v>76</v>
      </c>
      <c r="F261" s="3" t="s">
        <v>1301</v>
      </c>
      <c r="G261" s="3" t="s">
        <v>341</v>
      </c>
      <c r="H261" s="3" t="s">
        <v>20</v>
      </c>
      <c r="I261" s="3" t="s">
        <v>343</v>
      </c>
      <c r="J261" s="3" t="s">
        <v>1302</v>
      </c>
      <c r="K261" s="3" t="s">
        <v>23</v>
      </c>
      <c r="L261" s="3" t="s">
        <v>1303</v>
      </c>
      <c r="M261" s="3" t="s">
        <v>23</v>
      </c>
      <c r="N261" s="16" t="str">
        <f>HYPERLINK("https://electionmgmt.vermont.gov/TFA/DownLoadFinancialDisclosure?FileName=kg_20220524072029_a4148d95-1465-43a0-ba45-542ae1edf701.pdf", "kg_20220524072029_a4148d95-1465-43a0-ba45-542ae1edf701.pdf")</f>
        <v>kg_20220524072029_a4148d95-1465-43a0-ba45-542ae1edf701.pdf</v>
      </c>
      <c r="O261" s="3"/>
      <c r="P261" s="3"/>
      <c r="Q261" s="3"/>
      <c r="R261" s="3"/>
      <c r="S261" s="3"/>
      <c r="T261" s="3"/>
      <c r="U261" s="3"/>
      <c r="V261" s="3"/>
    </row>
    <row r="262" spans="1:22" ht="31.5" x14ac:dyDescent="0.5">
      <c r="A262" s="3" t="s">
        <v>14</v>
      </c>
      <c r="B262" s="3" t="s">
        <v>381</v>
      </c>
      <c r="C262" s="3" t="s">
        <v>382</v>
      </c>
      <c r="D262" s="3" t="s">
        <v>383</v>
      </c>
      <c r="E262" s="3" t="s">
        <v>18</v>
      </c>
      <c r="F262" s="3" t="s">
        <v>384</v>
      </c>
      <c r="G262" s="3" t="s">
        <v>383</v>
      </c>
      <c r="H262" s="3" t="s">
        <v>20</v>
      </c>
      <c r="I262" s="3" t="s">
        <v>385</v>
      </c>
      <c r="J262" s="3" t="s">
        <v>386</v>
      </c>
      <c r="K262" s="3" t="s">
        <v>23</v>
      </c>
      <c r="L262" s="3" t="s">
        <v>387</v>
      </c>
      <c r="M262" s="3" t="s">
        <v>388</v>
      </c>
      <c r="N262" s="16" t="str">
        <f>HYPERLINK("https://electionmgmt.vermont.gov/TFA/DownLoadFinancialDisclosure?FileName=Kari Dolan Fin_38805d96-7867-464b-8495-18f831775c94.pdf", "Kari Dolan Fin_38805d96-7867-464b-8495-18f831775c94.pdf")</f>
        <v>Kari Dolan Fin_38805d96-7867-464b-8495-18f831775c94.pdf</v>
      </c>
      <c r="O262" s="3"/>
      <c r="P262" s="3"/>
      <c r="Q262" s="3"/>
      <c r="R262" s="3"/>
      <c r="S262" s="3"/>
      <c r="T262" s="3"/>
      <c r="U262" s="3"/>
      <c r="V262" s="3"/>
    </row>
    <row r="263" spans="1:22" ht="31.5" x14ac:dyDescent="0.5">
      <c r="A263" s="3" t="s">
        <v>14</v>
      </c>
      <c r="B263" s="3" t="s">
        <v>381</v>
      </c>
      <c r="C263" s="3" t="s">
        <v>1556</v>
      </c>
      <c r="D263" s="3" t="s">
        <v>1557</v>
      </c>
      <c r="E263" s="3" t="s">
        <v>18</v>
      </c>
      <c r="F263" s="3" t="s">
        <v>1558</v>
      </c>
      <c r="G263" s="3" t="s">
        <v>1557</v>
      </c>
      <c r="H263" s="3" t="s">
        <v>20</v>
      </c>
      <c r="I263" s="3" t="s">
        <v>902</v>
      </c>
      <c r="J263" s="3" t="s">
        <v>1559</v>
      </c>
      <c r="K263" s="3" t="s">
        <v>23</v>
      </c>
      <c r="L263" s="3" t="s">
        <v>1560</v>
      </c>
      <c r="M263" s="3" t="s">
        <v>1561</v>
      </c>
      <c r="N263" s="16" t="str">
        <f>HYPERLINK("https://electionmgmt.vermont.gov/TFA/DownLoadFinancialDisclosure?FileName=20220526104536427_acc97958-7e03-4968-add6-a5ab54472d47.pdf", "20220526104536427_acc97958-7e03-4968-add6-a5ab54472d47.pdf")</f>
        <v>20220526104536427_acc97958-7e03-4968-add6-a5ab54472d47.pdf</v>
      </c>
      <c r="O263" s="3"/>
      <c r="P263" s="3"/>
      <c r="Q263" s="3"/>
      <c r="R263" s="3"/>
      <c r="S263" s="3"/>
      <c r="T263" s="3"/>
      <c r="U263" s="3"/>
      <c r="V263" s="3"/>
    </row>
    <row r="264" spans="1:22" ht="31.5" x14ac:dyDescent="0.5">
      <c r="A264" s="3" t="s">
        <v>14</v>
      </c>
      <c r="B264" s="3" t="s">
        <v>155</v>
      </c>
      <c r="C264" s="3" t="s">
        <v>643</v>
      </c>
      <c r="D264" s="3" t="s">
        <v>157</v>
      </c>
      <c r="E264" s="3" t="s">
        <v>18</v>
      </c>
      <c r="F264" s="3" t="s">
        <v>644</v>
      </c>
      <c r="G264" s="3" t="s">
        <v>157</v>
      </c>
      <c r="H264" s="3" t="s">
        <v>20</v>
      </c>
      <c r="I264" s="3" t="s">
        <v>119</v>
      </c>
      <c r="J264" s="3" t="s">
        <v>645</v>
      </c>
      <c r="K264" s="3" t="s">
        <v>645</v>
      </c>
      <c r="L264" s="3" t="s">
        <v>646</v>
      </c>
      <c r="M264" s="3" t="s">
        <v>647</v>
      </c>
      <c r="N264" s="16" t="str">
        <f>HYPERLINK("https://electionmgmt.vermont.gov/TFA/DownLoadFinancialDisclosure?FileName=P Anthony financial disclosure_996aa1c7-d663-465b-9eb1-f104e1178f92.pdf", "P Anthony financial disclosure_996aa1c7-d663-465b-9eb1-f104e1178f92.pdf")</f>
        <v>P Anthony financial disclosure_996aa1c7-d663-465b-9eb1-f104e1178f92.pdf</v>
      </c>
      <c r="O264" s="3"/>
      <c r="P264" s="3"/>
      <c r="Q264" s="3"/>
      <c r="R264" s="3"/>
      <c r="S264" s="3"/>
      <c r="T264" s="3"/>
      <c r="U264" s="3"/>
      <c r="V264" s="3"/>
    </row>
    <row r="265" spans="1:22" ht="31.5" x14ac:dyDescent="0.5">
      <c r="A265" s="3" t="s">
        <v>14</v>
      </c>
      <c r="B265" s="3" t="s">
        <v>155</v>
      </c>
      <c r="C265" s="3" t="s">
        <v>2070</v>
      </c>
      <c r="D265" s="3" t="s">
        <v>157</v>
      </c>
      <c r="E265" s="3" t="s">
        <v>76</v>
      </c>
      <c r="F265" s="3" t="s">
        <v>2071</v>
      </c>
      <c r="G265" s="3" t="s">
        <v>157</v>
      </c>
      <c r="H265" s="3" t="s">
        <v>20</v>
      </c>
      <c r="I265" s="3" t="s">
        <v>119</v>
      </c>
      <c r="J265" s="3" t="s">
        <v>2072</v>
      </c>
      <c r="K265" s="3" t="s">
        <v>2073</v>
      </c>
      <c r="L265" s="3" t="s">
        <v>2074</v>
      </c>
      <c r="M265" s="3" t="s">
        <v>2075</v>
      </c>
      <c r="N265" s="16" t="str">
        <f>HYPERLINK("https://electionmgmt.vermont.gov/TFA/DownLoadFinancialDisclosure?FileName=Deering financial disclosure paperwork 5-31-22_04d7ff9e-6872-4c83-a5e4-b1d978a64f1e.pdf", "Deering financial disclosure paperwork 5-31-22_04d7ff9e-6872-4c83-a5e4-b1d978a64f1e.pdf")</f>
        <v>Deering financial disclosure paperwork 5-31-22_04d7ff9e-6872-4c83-a5e4-b1d978a64f1e.pdf</v>
      </c>
      <c r="O265" s="3"/>
      <c r="P265" s="3"/>
      <c r="Q265" s="3"/>
      <c r="R265" s="3"/>
      <c r="S265" s="3"/>
      <c r="T265" s="3"/>
      <c r="U265" s="3"/>
      <c r="V265" s="3"/>
    </row>
    <row r="266" spans="1:22" ht="31.5" x14ac:dyDescent="0.5">
      <c r="A266" s="3" t="s">
        <v>14</v>
      </c>
      <c r="B266" s="3" t="s">
        <v>155</v>
      </c>
      <c r="C266" s="3" t="s">
        <v>1797</v>
      </c>
      <c r="D266" s="3" t="s">
        <v>157</v>
      </c>
      <c r="E266" s="3" t="s">
        <v>76</v>
      </c>
      <c r="F266" s="3" t="s">
        <v>1798</v>
      </c>
      <c r="G266" s="3" t="s">
        <v>157</v>
      </c>
      <c r="H266" s="3" t="s">
        <v>20</v>
      </c>
      <c r="I266" s="3" t="s">
        <v>119</v>
      </c>
      <c r="J266" s="3" t="s">
        <v>1799</v>
      </c>
      <c r="K266" s="3" t="s">
        <v>1799</v>
      </c>
      <c r="L266" s="3" t="s">
        <v>1800</v>
      </c>
      <c r="M266" s="3" t="s">
        <v>23</v>
      </c>
      <c r="N266" s="16" t="str">
        <f>HYPERLINK("https://electionmgmt.vermont.gov/TFA/DownLoadFinancialDisclosure?FileName=Judd financial disclosure paperwor 5-26-22_cfe8b713-8dec-4d35-a941-b7a063beaf82.pdf", "Judd financial disclosure paperwor 5-26-22_cfe8b713-8dec-4d35-a941-b7a063beaf82.pdf")</f>
        <v>Judd financial disclosure paperwor 5-26-22_cfe8b713-8dec-4d35-a941-b7a063beaf82.pdf</v>
      </c>
      <c r="O266" s="3"/>
      <c r="P266" s="3"/>
      <c r="Q266" s="3"/>
      <c r="R266" s="3"/>
      <c r="S266" s="3"/>
      <c r="T266" s="3"/>
      <c r="U266" s="3"/>
      <c r="V266" s="3"/>
    </row>
    <row r="267" spans="1:22" ht="31.5" x14ac:dyDescent="0.5">
      <c r="A267" s="3" t="s">
        <v>14</v>
      </c>
      <c r="B267" s="3" t="s">
        <v>155</v>
      </c>
      <c r="C267" s="3" t="s">
        <v>1801</v>
      </c>
      <c r="D267" s="3" t="s">
        <v>157</v>
      </c>
      <c r="E267" s="3" t="s">
        <v>76</v>
      </c>
      <c r="F267" s="3" t="s">
        <v>1802</v>
      </c>
      <c r="G267" s="3" t="s">
        <v>157</v>
      </c>
      <c r="H267" s="3" t="s">
        <v>20</v>
      </c>
      <c r="I267" s="3" t="s">
        <v>119</v>
      </c>
      <c r="J267" s="3" t="s">
        <v>2212</v>
      </c>
      <c r="K267" s="3" t="s">
        <v>2212</v>
      </c>
      <c r="L267" s="3" t="s">
        <v>1803</v>
      </c>
      <c r="M267" s="3" t="s">
        <v>23</v>
      </c>
      <c r="N267" s="16" t="str">
        <f>HYPERLINK("https://electionmgmt.vermont.gov/TFA/DownLoadFinancialDisclosure?FileName=Kelly financial disclosure paperwork 5-26-22_68299cf1-3975-4059-80ea-9c770fc9c190.pdf", "Kelly financial disclosure paperwork 5-26-22_68299cf1-3975-4059-80ea-9c770fc9c190.pdf")</f>
        <v>Kelly financial disclosure paperwork 5-26-22_68299cf1-3975-4059-80ea-9c770fc9c190.pdf</v>
      </c>
      <c r="O267" s="3"/>
      <c r="P267" s="3"/>
      <c r="Q267" s="3"/>
      <c r="R267" s="3"/>
      <c r="S267" s="3"/>
      <c r="T267" s="3"/>
      <c r="U267" s="3"/>
      <c r="V267" s="3"/>
    </row>
    <row r="268" spans="1:22" ht="31.5" x14ac:dyDescent="0.5">
      <c r="A268" s="3" t="s">
        <v>14</v>
      </c>
      <c r="B268" s="3" t="s">
        <v>155</v>
      </c>
      <c r="C268" s="3" t="s">
        <v>156</v>
      </c>
      <c r="D268" s="3" t="s">
        <v>157</v>
      </c>
      <c r="E268" s="3" t="s">
        <v>18</v>
      </c>
      <c r="F268" s="3" t="s">
        <v>158</v>
      </c>
      <c r="G268" s="3" t="s">
        <v>157</v>
      </c>
      <c r="H268" s="3" t="s">
        <v>20</v>
      </c>
      <c r="I268" s="3" t="s">
        <v>119</v>
      </c>
      <c r="J268" s="3" t="s">
        <v>159</v>
      </c>
      <c r="K268" s="3" t="s">
        <v>159</v>
      </c>
      <c r="L268" s="3" t="s">
        <v>160</v>
      </c>
      <c r="M268" s="3" t="s">
        <v>161</v>
      </c>
      <c r="N268" s="16" t="str">
        <f>HYPERLINK("https://electionmgmt.vermont.gov/TFA/DownLoadFinancialDisclosure?FileName=J Williams financial disclosure form 2022_68f8a56d-7f1e-4c08-874c-8cfe2f4ed0ee.pdf", "J Williams financial disclosure form 2022_68f8a56d-7f1e-4c08-874c-8cfe2f4ed0ee.pdf")</f>
        <v>J Williams financial disclosure form 2022_68f8a56d-7f1e-4c08-874c-8cfe2f4ed0ee.pdf</v>
      </c>
      <c r="O268" s="3"/>
      <c r="P268" s="3"/>
      <c r="Q268" s="3"/>
      <c r="R268" s="3"/>
      <c r="S268" s="3"/>
      <c r="T268" s="3"/>
      <c r="U268" s="3"/>
      <c r="V268" s="3"/>
    </row>
    <row r="269" spans="1:22" ht="31.5" x14ac:dyDescent="0.5">
      <c r="A269" s="3" t="s">
        <v>14</v>
      </c>
      <c r="B269" s="3" t="s">
        <v>678</v>
      </c>
      <c r="C269" s="3" t="s">
        <v>752</v>
      </c>
      <c r="D269" s="3" t="s">
        <v>90</v>
      </c>
      <c r="E269" s="3" t="s">
        <v>18</v>
      </c>
      <c r="F269" s="3" t="s">
        <v>753</v>
      </c>
      <c r="G269" s="3" t="s">
        <v>90</v>
      </c>
      <c r="H269" s="3" t="s">
        <v>20</v>
      </c>
      <c r="I269" s="3" t="s">
        <v>419</v>
      </c>
      <c r="J269" s="3" t="s">
        <v>754</v>
      </c>
      <c r="K269" s="3" t="s">
        <v>754</v>
      </c>
      <c r="L269" s="3" t="s">
        <v>755</v>
      </c>
      <c r="M269" s="3"/>
      <c r="N269" s="16" t="str">
        <f>HYPERLINK("https://electionmgmt.vermont.gov/TFA/DownLoadFinancialDisclosure?FileName=Casey_49b5d73c-b2f4-4f61-b18c-07c59f36bc34.pdf", "Casey_49b5d73c-b2f4-4f61-b18c-07c59f36bc34.pdf")</f>
        <v>Casey_49b5d73c-b2f4-4f61-b18c-07c59f36bc34.pdf</v>
      </c>
      <c r="O269" s="3"/>
      <c r="P269" s="3"/>
      <c r="Q269" s="3"/>
      <c r="R269" s="3"/>
      <c r="S269" s="3"/>
      <c r="T269" s="3"/>
      <c r="U269" s="3"/>
      <c r="V269" s="3"/>
    </row>
    <row r="270" spans="1:22" ht="31.5" x14ac:dyDescent="0.5">
      <c r="A270" s="3" t="s">
        <v>14</v>
      </c>
      <c r="B270" s="3" t="s">
        <v>678</v>
      </c>
      <c r="C270" s="3" t="s">
        <v>679</v>
      </c>
      <c r="D270" s="3" t="s">
        <v>90</v>
      </c>
      <c r="E270" s="3" t="s">
        <v>18</v>
      </c>
      <c r="F270" s="3" t="s">
        <v>680</v>
      </c>
      <c r="G270" s="3" t="s">
        <v>90</v>
      </c>
      <c r="H270" s="3" t="s">
        <v>20</v>
      </c>
      <c r="I270" s="3" t="s">
        <v>419</v>
      </c>
      <c r="J270" s="3" t="s">
        <v>681</v>
      </c>
      <c r="K270" s="3" t="s">
        <v>681</v>
      </c>
      <c r="L270" s="3" t="s">
        <v>682</v>
      </c>
      <c r="M270" s="3" t="s">
        <v>23</v>
      </c>
      <c r="N270" s="16" t="str">
        <f>HYPERLINK("https://electionmgmt.vermont.gov/TFA/DownLoadFinancialDisclosure?FileName=Jones_00138c4b-fdfb-467b-a872-d9518f55aba2.pdf", "Jones_00138c4b-fdfb-467b-a872-d9518f55aba2.pdf")</f>
        <v>Jones_00138c4b-fdfb-467b-a872-d9518f55aba2.pdf</v>
      </c>
      <c r="O270" s="3"/>
      <c r="P270" s="3"/>
      <c r="Q270" s="3"/>
      <c r="R270" s="3"/>
      <c r="S270" s="3"/>
      <c r="T270" s="3"/>
      <c r="U270" s="3"/>
      <c r="V270" s="3"/>
    </row>
    <row r="271" spans="1:22" ht="31.5" x14ac:dyDescent="0.5">
      <c r="A271" s="3" t="s">
        <v>14</v>
      </c>
      <c r="B271" s="3" t="s">
        <v>678</v>
      </c>
      <c r="C271" s="3" t="s">
        <v>683</v>
      </c>
      <c r="D271" s="3" t="s">
        <v>90</v>
      </c>
      <c r="E271" s="3" t="s">
        <v>18</v>
      </c>
      <c r="F271" s="3" t="s">
        <v>684</v>
      </c>
      <c r="G271" s="3" t="s">
        <v>90</v>
      </c>
      <c r="H271" s="3" t="s">
        <v>20</v>
      </c>
      <c r="I271" s="3" t="s">
        <v>419</v>
      </c>
      <c r="J271" s="3" t="s">
        <v>685</v>
      </c>
      <c r="K271" s="3" t="s">
        <v>685</v>
      </c>
      <c r="L271" s="3" t="s">
        <v>686</v>
      </c>
      <c r="M271" s="3" t="s">
        <v>23</v>
      </c>
      <c r="N271" s="16" t="str">
        <f>HYPERLINK("https://electionmgmt.vermont.gov/TFA/DownLoadFinancialDisclosure?FileName=mccann_41af69bf-1725-4305-99f1-161bb874285b.pdf", "mccann_41af69bf-1725-4305-99f1-161bb874285b.pdf")</f>
        <v>mccann_41af69bf-1725-4305-99f1-161bb874285b.pdf</v>
      </c>
      <c r="O271" s="3"/>
      <c r="P271" s="3"/>
      <c r="Q271" s="3"/>
      <c r="R271" s="3"/>
      <c r="S271" s="3"/>
      <c r="T271" s="3"/>
      <c r="U271" s="3"/>
      <c r="V271" s="3"/>
    </row>
    <row r="272" spans="1:22" ht="31.5" x14ac:dyDescent="0.5">
      <c r="A272" s="3" t="s">
        <v>14</v>
      </c>
      <c r="B272" s="3" t="s">
        <v>678</v>
      </c>
      <c r="C272" s="3" t="s">
        <v>1568</v>
      </c>
      <c r="D272" s="3" t="s">
        <v>90</v>
      </c>
      <c r="E272" s="3" t="s">
        <v>18</v>
      </c>
      <c r="F272" s="3" t="s">
        <v>1569</v>
      </c>
      <c r="G272" s="3" t="s">
        <v>90</v>
      </c>
      <c r="H272" s="3" t="s">
        <v>20</v>
      </c>
      <c r="I272" s="3" t="s">
        <v>419</v>
      </c>
      <c r="J272" s="3" t="s">
        <v>1570</v>
      </c>
      <c r="K272" s="3" t="s">
        <v>23</v>
      </c>
      <c r="L272" s="3" t="s">
        <v>1571</v>
      </c>
      <c r="M272" s="3" t="s">
        <v>1572</v>
      </c>
      <c r="N272" s="16" t="s">
        <v>1573</v>
      </c>
      <c r="O272" s="3"/>
      <c r="P272" s="3"/>
      <c r="Q272" s="3"/>
      <c r="R272" s="3"/>
      <c r="S272" s="3"/>
      <c r="T272" s="3"/>
      <c r="U272" s="3"/>
      <c r="V272" s="3"/>
    </row>
    <row r="273" spans="1:22" ht="31.5" x14ac:dyDescent="0.5">
      <c r="A273" s="3" t="s">
        <v>14</v>
      </c>
      <c r="B273" s="3" t="s">
        <v>678</v>
      </c>
      <c r="C273" s="3" t="s">
        <v>687</v>
      </c>
      <c r="D273" s="3" t="s">
        <v>90</v>
      </c>
      <c r="E273" s="3" t="s">
        <v>18</v>
      </c>
      <c r="F273" s="3" t="s">
        <v>688</v>
      </c>
      <c r="G273" s="3" t="s">
        <v>90</v>
      </c>
      <c r="H273" s="3" t="s">
        <v>20</v>
      </c>
      <c r="I273" s="3" t="s">
        <v>91</v>
      </c>
      <c r="J273" s="3" t="s">
        <v>23</v>
      </c>
      <c r="K273" s="3" t="s">
        <v>23</v>
      </c>
      <c r="L273" s="3" t="s">
        <v>23</v>
      </c>
      <c r="M273" s="3" t="s">
        <v>23</v>
      </c>
      <c r="N273" s="16" t="str">
        <f>HYPERLINK("https://electionmgmt.vermont.gov/TFA/DownLoadFinancialDisclosure?FileName=Parke_fa626e2b-148c-4ff8-8373-1c871ba6d2f5.pdf", "Parke_fa626e2b-148c-4ff8-8373-1c871ba6d2f5.pdf")</f>
        <v>Parke_fa626e2b-148c-4ff8-8373-1c871ba6d2f5.pdf</v>
      </c>
      <c r="O273" s="3"/>
      <c r="P273" s="3"/>
      <c r="Q273" s="3"/>
      <c r="R273" s="3"/>
      <c r="S273" s="3"/>
      <c r="T273" s="3"/>
      <c r="U273" s="3"/>
      <c r="V273" s="3"/>
    </row>
    <row r="274" spans="1:22" ht="31.5" x14ac:dyDescent="0.5">
      <c r="A274" s="3" t="s">
        <v>14</v>
      </c>
      <c r="B274" s="3" t="s">
        <v>678</v>
      </c>
      <c r="C274" s="3" t="s">
        <v>1661</v>
      </c>
      <c r="D274" s="3" t="s">
        <v>90</v>
      </c>
      <c r="E274" s="3" t="s">
        <v>1662</v>
      </c>
      <c r="F274" s="3" t="s">
        <v>1663</v>
      </c>
      <c r="G274" s="3" t="s">
        <v>90</v>
      </c>
      <c r="H274" s="3" t="s">
        <v>20</v>
      </c>
      <c r="I274" s="3" t="s">
        <v>419</v>
      </c>
      <c r="J274" s="3" t="s">
        <v>1664</v>
      </c>
      <c r="K274" s="3" t="s">
        <v>1664</v>
      </c>
      <c r="L274" s="3" t="s">
        <v>1665</v>
      </c>
      <c r="M274" s="3" t="s">
        <v>1666</v>
      </c>
      <c r="N274" s="16" t="str">
        <f>HYPERLINK("https://electionmgmt.vermont.gov/TFA/DownLoadFinancialDisclosure?FileName=Sewell_consent_54804ecc-b726-4223-bfab-99f1be0f9858.pdf", "Sewell_consent_54804ecc-b726-4223-bfab-99f1be0f9858.pdf")</f>
        <v>Sewell_consent_54804ecc-b726-4223-bfab-99f1be0f9858.pdf</v>
      </c>
      <c r="O274" s="3"/>
      <c r="P274" s="3"/>
      <c r="Q274" s="3"/>
      <c r="R274" s="3"/>
      <c r="S274" s="3"/>
      <c r="T274" s="3"/>
      <c r="U274" s="3"/>
      <c r="V274" s="3"/>
    </row>
    <row r="275" spans="1:22" ht="31.5" x14ac:dyDescent="0.5">
      <c r="A275" s="3" t="s">
        <v>14</v>
      </c>
      <c r="B275" s="3" t="s">
        <v>1071</v>
      </c>
      <c r="C275" s="3" t="s">
        <v>2178</v>
      </c>
      <c r="D275" s="3" t="s">
        <v>1073</v>
      </c>
      <c r="E275" s="3" t="s">
        <v>18</v>
      </c>
      <c r="F275" s="3" t="s">
        <v>1574</v>
      </c>
      <c r="G275" s="3" t="s">
        <v>1073</v>
      </c>
      <c r="H275" s="3" t="s">
        <v>20</v>
      </c>
      <c r="I275" s="3" t="s">
        <v>419</v>
      </c>
      <c r="J275" s="3" t="s">
        <v>23</v>
      </c>
      <c r="K275" s="3" t="s">
        <v>23</v>
      </c>
      <c r="L275" s="3" t="s">
        <v>1990</v>
      </c>
      <c r="M275" s="3" t="s">
        <v>1575</v>
      </c>
      <c r="N275" s="16" t="str">
        <f>HYPERLINK("https://electionmgmt.vermont.gov/TFA/DownLoadFinancialDisclosure?FileName=Chapin FD WAS-5_f1e0ffb1-8017-4ab5-9aa1-fe91075f4621.pdf", "Chapin FD WAS-5_f1e0ffb1-8017-4ab5-9aa1-fe91075f4621.pdf")</f>
        <v>Chapin FD WAS-5_f1e0ffb1-8017-4ab5-9aa1-fe91075f4621.pdf</v>
      </c>
      <c r="O275" s="3"/>
      <c r="P275" s="3"/>
      <c r="Q275" s="3"/>
      <c r="R275" s="3"/>
      <c r="S275" s="3"/>
      <c r="T275" s="3"/>
      <c r="U275" s="3"/>
      <c r="V275" s="3"/>
    </row>
    <row r="276" spans="1:22" ht="31.5" x14ac:dyDescent="0.5">
      <c r="A276" s="3" t="s">
        <v>14</v>
      </c>
      <c r="B276" s="3" t="s">
        <v>1071</v>
      </c>
      <c r="C276" s="3" t="s">
        <v>1576</v>
      </c>
      <c r="D276" s="3" t="s">
        <v>1577</v>
      </c>
      <c r="E276" s="3" t="s">
        <v>18</v>
      </c>
      <c r="F276" s="3" t="s">
        <v>1578</v>
      </c>
      <c r="G276" s="3" t="s">
        <v>1577</v>
      </c>
      <c r="H276" s="3" t="s">
        <v>20</v>
      </c>
      <c r="I276" s="3" t="s">
        <v>419</v>
      </c>
      <c r="J276" s="3" t="s">
        <v>1579</v>
      </c>
      <c r="K276" s="3" t="s">
        <v>1579</v>
      </c>
      <c r="L276" s="3" t="s">
        <v>1580</v>
      </c>
      <c r="M276" s="3" t="s">
        <v>1581</v>
      </c>
      <c r="N276" s="16" t="str">
        <f>HYPERLINK("https://electionmgmt.vermont.gov/TFA/DownLoadFinancialDisclosure?FileName=Kennedy FD WAS-5_5d419aa9-0174-440c-9c74-5c31f1442d08.pdf", "Kennedy FD WAS-5_5d419aa9-0174-440c-9c74-5c31f1442d08.pdf")</f>
        <v>Kennedy FD WAS-5_5d419aa9-0174-440c-9c74-5c31f1442d08.pdf</v>
      </c>
      <c r="O276" s="3"/>
      <c r="P276" s="3"/>
      <c r="Q276" s="3"/>
      <c r="R276" s="3"/>
      <c r="S276" s="3"/>
      <c r="T276" s="3"/>
      <c r="U276" s="3"/>
      <c r="V276" s="3"/>
    </row>
    <row r="277" spans="1:22" ht="31.5" x14ac:dyDescent="0.5">
      <c r="A277" s="3" t="s">
        <v>14</v>
      </c>
      <c r="B277" s="3" t="s">
        <v>1071</v>
      </c>
      <c r="C277" s="3" t="s">
        <v>1072</v>
      </c>
      <c r="D277" s="3" t="s">
        <v>1073</v>
      </c>
      <c r="E277" s="3" t="s">
        <v>18</v>
      </c>
      <c r="F277" s="3" t="s">
        <v>1074</v>
      </c>
      <c r="G277" s="3" t="s">
        <v>1073</v>
      </c>
      <c r="H277" s="3" t="s">
        <v>20</v>
      </c>
      <c r="I277" s="3" t="s">
        <v>1075</v>
      </c>
      <c r="J277" s="3" t="s">
        <v>1076</v>
      </c>
      <c r="K277" s="3" t="s">
        <v>1076</v>
      </c>
      <c r="L277" s="3" t="s">
        <v>1077</v>
      </c>
      <c r="M277" s="3"/>
      <c r="N277" s="16" t="str">
        <f>HYPERLINK("https://electionmgmt.vermont.gov/TFA/DownLoadFinancialDisclosure?FileName=Sullivan FD WAS-5_20220525115037_49f461ab-7a8f-414c-b48e-08643886b98b.pdf", "Sullivan FD WAS-5_20220525115037_49f461ab-7a8f-414c-b48e-08643886b98b.pdf")</f>
        <v>Sullivan FD WAS-5_20220525115037_49f461ab-7a8f-414c-b48e-08643886b98b.pdf</v>
      </c>
      <c r="O277" s="3"/>
      <c r="P277" s="3"/>
      <c r="Q277" s="3"/>
      <c r="R277" s="3"/>
      <c r="S277" s="3"/>
      <c r="T277" s="3"/>
      <c r="U277" s="3"/>
      <c r="V277" s="3"/>
    </row>
    <row r="278" spans="1:22" ht="31.5" x14ac:dyDescent="0.5">
      <c r="A278" s="3" t="s">
        <v>14</v>
      </c>
      <c r="B278" s="3" t="s">
        <v>207</v>
      </c>
      <c r="C278" s="3" t="s">
        <v>208</v>
      </c>
      <c r="D278" s="3" t="s">
        <v>209</v>
      </c>
      <c r="E278" s="3" t="s">
        <v>18</v>
      </c>
      <c r="F278" s="3" t="s">
        <v>210</v>
      </c>
      <c r="G278" s="3" t="s">
        <v>211</v>
      </c>
      <c r="H278" s="3" t="s">
        <v>20</v>
      </c>
      <c r="I278" s="3" t="s">
        <v>212</v>
      </c>
      <c r="J278" s="3" t="s">
        <v>213</v>
      </c>
      <c r="K278" s="3" t="s">
        <v>214</v>
      </c>
      <c r="L278" s="3" t="s">
        <v>215</v>
      </c>
      <c r="M278" s="3" t="s">
        <v>23</v>
      </c>
      <c r="N278" s="16" t="str">
        <f>HYPERLINK("https://electionmgmt.vermont.gov/TFA/DownLoadFinancialDisclosure?FileName=MIHALY CALAIS CANDIDATE STATE REP AUG PRIMARY_27840509-54b7-491e-930f-c9c51291746e.pdf", "MIHALY CALAIS CANDIDATE STATE REP AUG PRIMARY_27840509-54b7-491e-930f-c9c51291746e.pdf")</f>
        <v>MIHALY CALAIS CANDIDATE STATE REP AUG PRIMARY_27840509-54b7-491e-930f-c9c51291746e.pdf</v>
      </c>
      <c r="O278" s="3"/>
      <c r="P278" s="3"/>
      <c r="Q278" s="3"/>
      <c r="R278" s="3"/>
      <c r="S278" s="3"/>
      <c r="T278" s="3"/>
      <c r="U278" s="3"/>
      <c r="V278" s="3"/>
    </row>
    <row r="279" spans="1:22" ht="31.5" x14ac:dyDescent="0.5">
      <c r="A279" s="3" t="s">
        <v>14</v>
      </c>
      <c r="B279" s="3" t="s">
        <v>207</v>
      </c>
      <c r="C279" s="3" t="s">
        <v>2134</v>
      </c>
      <c r="D279" s="3" t="s">
        <v>209</v>
      </c>
      <c r="E279" s="3" t="s">
        <v>76</v>
      </c>
      <c r="F279" s="3" t="s">
        <v>2135</v>
      </c>
      <c r="G279" s="3" t="s">
        <v>546</v>
      </c>
      <c r="H279" s="3" t="s">
        <v>20</v>
      </c>
      <c r="I279" s="3" t="s">
        <v>548</v>
      </c>
      <c r="J279" s="3" t="s">
        <v>2136</v>
      </c>
      <c r="K279" s="3" t="s">
        <v>23</v>
      </c>
      <c r="L279" s="3" t="s">
        <v>2137</v>
      </c>
      <c r="M279" s="3" t="s">
        <v>2138</v>
      </c>
      <c r="N279" s="16" t="str">
        <f>HYPERLINK("https://electionmgmt.vermont.gov/TFA/DownLoadFinancialDisclosure?FileName=20220531080109_2d877fa0-d6df-406c-989a-86fb6b3836a2.pdf", "20220531080109_2d877fa0-d6df-406c-989a-86fb6b3836a2.pdf")</f>
        <v>20220531080109_2d877fa0-d6df-406c-989a-86fb6b3836a2.pdf</v>
      </c>
      <c r="O279" s="3"/>
      <c r="P279" s="3"/>
      <c r="Q279" s="3"/>
      <c r="R279" s="3"/>
      <c r="S279" s="3"/>
      <c r="T279" s="3"/>
      <c r="U279" s="3"/>
      <c r="V279" s="3"/>
    </row>
    <row r="280" spans="1:22" ht="31.5" x14ac:dyDescent="0.5">
      <c r="A280" s="3" t="s">
        <v>14</v>
      </c>
      <c r="B280" s="3" t="s">
        <v>207</v>
      </c>
      <c r="C280" s="3" t="s">
        <v>1078</v>
      </c>
      <c r="D280" s="3" t="s">
        <v>1079</v>
      </c>
      <c r="E280" s="3" t="s">
        <v>18</v>
      </c>
      <c r="F280" s="3" t="s">
        <v>1080</v>
      </c>
      <c r="G280" s="3" t="s">
        <v>1079</v>
      </c>
      <c r="H280" s="3" t="s">
        <v>20</v>
      </c>
      <c r="I280" s="3" t="s">
        <v>91</v>
      </c>
      <c r="J280" s="3" t="s">
        <v>1081</v>
      </c>
      <c r="K280" s="3" t="s">
        <v>23</v>
      </c>
      <c r="L280" s="3" t="s">
        <v>1082</v>
      </c>
      <c r="M280" s="3" t="s">
        <v>1083</v>
      </c>
      <c r="N280" s="16" t="str">
        <f>HYPERLINK("https://electionmgmt.vermont.gov/TFA/DownLoadFinancialDisclosure?FileName=Towbin Financial Disclosure_August 2022 Primary__dd811dd7-4c45-4035-a819-4c5ddb7cb17a.pdf", "Towbin Financial Disclosure_August 2022 Primary__dd811dd7-4c45-4035-a819-4c5ddb7cb17a.pdf")</f>
        <v>Towbin Financial Disclosure_August 2022 Primary__dd811dd7-4c45-4035-a819-4c5ddb7cb17a.pdf</v>
      </c>
      <c r="O280" s="3"/>
      <c r="P280" s="3"/>
      <c r="Q280" s="3"/>
      <c r="R280" s="3"/>
      <c r="S280" s="3"/>
      <c r="T280" s="3"/>
      <c r="U280" s="3"/>
      <c r="V280" s="3"/>
    </row>
    <row r="281" spans="1:22" ht="31.5" x14ac:dyDescent="0.5">
      <c r="A281" s="3" t="s">
        <v>14</v>
      </c>
      <c r="B281" s="3" t="s">
        <v>326</v>
      </c>
      <c r="C281" s="3" t="s">
        <v>1084</v>
      </c>
      <c r="D281" s="3" t="s">
        <v>328</v>
      </c>
      <c r="E281" s="3" t="s">
        <v>18</v>
      </c>
      <c r="F281" s="3" t="s">
        <v>1085</v>
      </c>
      <c r="G281" s="3" t="s">
        <v>328</v>
      </c>
      <c r="H281" s="3" t="s">
        <v>20</v>
      </c>
      <c r="I281" s="3" t="s">
        <v>330</v>
      </c>
      <c r="J281" s="3" t="s">
        <v>1582</v>
      </c>
      <c r="K281" s="3" t="s">
        <v>23</v>
      </c>
      <c r="L281" s="3" t="s">
        <v>2182</v>
      </c>
      <c r="M281" s="3" t="s">
        <v>23</v>
      </c>
      <c r="N281" s="16" t="str">
        <f>HYPERLINK("https://electionmgmt.vermont.gov/TFA/DownLoadFinancialDisclosure?FileName=SKM_C360i22052514050_542ffcb5-bcf3-4f15-8706-8d4bae1f698a.pdf", "SKM_C360i22052514050_542ffcb5-bcf3-4f15-8706-8d4bae1f698a.pdf")</f>
        <v>SKM_C360i22052514050_542ffcb5-bcf3-4f15-8706-8d4bae1f698a.pdf</v>
      </c>
      <c r="O281" s="3"/>
      <c r="P281" s="3"/>
      <c r="Q281" s="3"/>
      <c r="R281" s="3"/>
      <c r="S281" s="3"/>
      <c r="T281" s="3"/>
      <c r="U281" s="3"/>
      <c r="V281" s="3"/>
    </row>
    <row r="282" spans="1:22" ht="31.5" x14ac:dyDescent="0.5">
      <c r="A282" s="3" t="s">
        <v>14</v>
      </c>
      <c r="B282" s="3" t="s">
        <v>326</v>
      </c>
      <c r="C282" s="3" t="s">
        <v>2076</v>
      </c>
      <c r="D282" s="3" t="s">
        <v>328</v>
      </c>
      <c r="E282" s="3" t="s">
        <v>76</v>
      </c>
      <c r="F282" s="3" t="s">
        <v>2077</v>
      </c>
      <c r="G282" s="3" t="s">
        <v>328</v>
      </c>
      <c r="H282" s="3" t="s">
        <v>20</v>
      </c>
      <c r="I282" s="3" t="s">
        <v>330</v>
      </c>
      <c r="J282" s="3" t="s">
        <v>23</v>
      </c>
      <c r="K282" s="3" t="s">
        <v>23</v>
      </c>
      <c r="L282" s="3" t="s">
        <v>23</v>
      </c>
      <c r="M282" s="3" t="s">
        <v>23</v>
      </c>
      <c r="N282" s="16" t="str">
        <f>HYPERLINK("https://electionmgmt.vermont.gov/TFA/DownLoadFinancialDisclosure?FileName=SKM_C360i22052711450_dffe0508-3270-411b-86b1-b6d800f766b4.pdf", "SKM_C360i22052711450_dffe0508-3270-411b-86b1-b6d800f766b4.pdf")</f>
        <v>SKM_C360i22052711450_dffe0508-3270-411b-86b1-b6d800f766b4.pdf</v>
      </c>
      <c r="O282" s="3"/>
      <c r="P282" s="3"/>
      <c r="Q282" s="3"/>
      <c r="R282" s="3"/>
      <c r="S282" s="3"/>
      <c r="T282" s="3"/>
      <c r="U282" s="3"/>
      <c r="V282" s="3"/>
    </row>
    <row r="283" spans="1:22" ht="31.5" x14ac:dyDescent="0.5">
      <c r="A283" s="3" t="s">
        <v>14</v>
      </c>
      <c r="B283" s="3" t="s">
        <v>326</v>
      </c>
      <c r="C283" s="3" t="s">
        <v>327</v>
      </c>
      <c r="D283" s="3" t="s">
        <v>328</v>
      </c>
      <c r="E283" s="3" t="s">
        <v>18</v>
      </c>
      <c r="F283" s="3" t="s">
        <v>329</v>
      </c>
      <c r="G283" s="3" t="s">
        <v>328</v>
      </c>
      <c r="H283" s="3" t="s">
        <v>20</v>
      </c>
      <c r="I283" s="3" t="s">
        <v>330</v>
      </c>
      <c r="J283" s="3" t="s">
        <v>331</v>
      </c>
      <c r="K283" s="3" t="s">
        <v>23</v>
      </c>
      <c r="L283" s="3" t="s">
        <v>332</v>
      </c>
      <c r="M283" s="3" t="s">
        <v>23</v>
      </c>
      <c r="N283" s="16" t="str">
        <f>HYPERLINK("https://electionmgmt.vermont.gov/TFA/DownLoadFinancialDisclosure?FileName=SKM_C360i22051613520_30066e13-ec35-48b9-8f6e-a1328b327e19.pdf", "SKM_C360i22051613520_30066e13-ec35-48b9-8f6e-a1328b327e19.pdf")</f>
        <v>SKM_C360i22051613520_30066e13-ec35-48b9-8f6e-a1328b327e19.pdf</v>
      </c>
      <c r="O283" s="3"/>
      <c r="P283" s="3"/>
      <c r="Q283" s="3"/>
      <c r="R283" s="3"/>
      <c r="S283" s="3"/>
      <c r="T283" s="3"/>
      <c r="U283" s="3"/>
      <c r="V283" s="3"/>
    </row>
    <row r="284" spans="1:22" ht="31.5" x14ac:dyDescent="0.5">
      <c r="A284" s="3" t="s">
        <v>14</v>
      </c>
      <c r="B284" s="3" t="s">
        <v>115</v>
      </c>
      <c r="C284" s="3" t="s">
        <v>1583</v>
      </c>
      <c r="D284" s="3" t="s">
        <v>117</v>
      </c>
      <c r="E284" s="3" t="s">
        <v>18</v>
      </c>
      <c r="F284" s="3" t="s">
        <v>1584</v>
      </c>
      <c r="G284" s="3" t="s">
        <v>117</v>
      </c>
      <c r="H284" s="3" t="s">
        <v>20</v>
      </c>
      <c r="I284" s="3" t="s">
        <v>119</v>
      </c>
      <c r="J284" s="3" t="s">
        <v>1585</v>
      </c>
      <c r="K284" s="3" t="s">
        <v>23</v>
      </c>
      <c r="L284" s="3" t="s">
        <v>1586</v>
      </c>
      <c r="M284" s="3" t="s">
        <v>1587</v>
      </c>
      <c r="N284" s="16" t="str">
        <f>HYPERLINK("https://electionmgmt.vermont.gov/TFA/DownLoadFinancialDisclosure?FileName=Melissa_6ee0b59e-fad1-4f8e-a624-dbe6ffb88f80.pdf", "Melissa_6ee0b59e-fad1-4f8e-a624-dbe6ffb88f80.pdf")</f>
        <v>Melissa_6ee0b59e-fad1-4f8e-a624-dbe6ffb88f80.pdf</v>
      </c>
      <c r="O284" s="3"/>
      <c r="P284" s="3"/>
      <c r="Q284" s="3"/>
      <c r="R284" s="3"/>
      <c r="S284" s="3"/>
      <c r="T284" s="3"/>
      <c r="U284" s="3"/>
      <c r="V284" s="3"/>
    </row>
    <row r="285" spans="1:22" ht="31.5" x14ac:dyDescent="0.5">
      <c r="A285" s="3" t="s">
        <v>14</v>
      </c>
      <c r="B285" s="3" t="s">
        <v>115</v>
      </c>
      <c r="C285" s="3" t="s">
        <v>2088</v>
      </c>
      <c r="D285" s="3" t="s">
        <v>117</v>
      </c>
      <c r="E285" s="3" t="s">
        <v>76</v>
      </c>
      <c r="F285" s="3" t="s">
        <v>1804</v>
      </c>
      <c r="G285" s="3" t="s">
        <v>117</v>
      </c>
      <c r="H285" s="3" t="s">
        <v>20</v>
      </c>
      <c r="I285" s="3" t="s">
        <v>119</v>
      </c>
      <c r="J285" s="3" t="s">
        <v>1805</v>
      </c>
      <c r="K285" s="3" t="s">
        <v>23</v>
      </c>
      <c r="L285" s="3" t="s">
        <v>1806</v>
      </c>
      <c r="M285" s="3" t="s">
        <v>23</v>
      </c>
      <c r="N285" s="16" t="str">
        <f>HYPERLINK("https://electionmgmt.vermont.gov/TFA/DownLoadFinancialDisclosure?FileName=Financial Disclosure Form - Galfetti_fd43d808-25f6-4b08-b08b-c76f774b5444.pdf", "Financial Disclosure Form - Galfetti_fd43d808-25f6-4b08-b08b-c76f774b5444.pdf")</f>
        <v>Financial Disclosure Form - Galfetti_fd43d808-25f6-4b08-b08b-c76f774b5444.pdf</v>
      </c>
      <c r="O285" s="3"/>
      <c r="P285" s="3"/>
      <c r="Q285" s="3"/>
      <c r="R285" s="3"/>
      <c r="S285" s="3"/>
      <c r="T285" s="3"/>
      <c r="U285" s="3"/>
      <c r="V285" s="3"/>
    </row>
    <row r="286" spans="1:22" ht="31.5" x14ac:dyDescent="0.5">
      <c r="A286" s="3" t="s">
        <v>14</v>
      </c>
      <c r="B286" s="3" t="s">
        <v>115</v>
      </c>
      <c r="C286" s="3" t="s">
        <v>116</v>
      </c>
      <c r="D286" s="3" t="s">
        <v>117</v>
      </c>
      <c r="E286" s="3" t="s">
        <v>76</v>
      </c>
      <c r="F286" s="3" t="s">
        <v>118</v>
      </c>
      <c r="G286" s="3" t="s">
        <v>117</v>
      </c>
      <c r="H286" s="3" t="s">
        <v>20</v>
      </c>
      <c r="I286" s="3" t="s">
        <v>119</v>
      </c>
      <c r="J286" s="3" t="s">
        <v>120</v>
      </c>
      <c r="K286" s="3" t="s">
        <v>23</v>
      </c>
      <c r="L286" s="3" t="s">
        <v>121</v>
      </c>
      <c r="M286" s="3"/>
      <c r="N286" s="16" t="str">
        <f>HYPERLINK("https://electionmgmt.vermont.gov/TFA/DownLoadFinancialDisclosure?FileName=Financial Disclosure Form_bfa7123e-07c4-4d73-877e-f8f8dd4ee8a6.pdf", "Financial Disclosure Form_bfa7123e-07c4-4d73-877e-f8f8dd4ee8a6.pdf")</f>
        <v>Financial Disclosure Form_bfa7123e-07c4-4d73-877e-f8f8dd4ee8a6.pdf</v>
      </c>
      <c r="O286" s="3"/>
      <c r="P286" s="3"/>
      <c r="Q286" s="3"/>
      <c r="R286" s="3"/>
      <c r="S286" s="3"/>
      <c r="T286" s="3"/>
      <c r="U286" s="3"/>
      <c r="V286" s="3"/>
    </row>
    <row r="287" spans="1:22" ht="31.5" x14ac:dyDescent="0.5">
      <c r="A287" s="3" t="s">
        <v>14</v>
      </c>
      <c r="B287" s="3" t="s">
        <v>132</v>
      </c>
      <c r="C287" s="3" t="s">
        <v>479</v>
      </c>
      <c r="D287" s="3" t="s">
        <v>480</v>
      </c>
      <c r="E287" s="3" t="s">
        <v>18</v>
      </c>
      <c r="F287" s="3" t="s">
        <v>481</v>
      </c>
      <c r="G287" s="3" t="s">
        <v>480</v>
      </c>
      <c r="H287" s="3" t="s">
        <v>20</v>
      </c>
      <c r="I287" s="3" t="s">
        <v>136</v>
      </c>
      <c r="J287" s="3" t="s">
        <v>482</v>
      </c>
      <c r="K287" s="3" t="s">
        <v>482</v>
      </c>
      <c r="L287" s="3" t="s">
        <v>483</v>
      </c>
      <c r="M287" s="3" t="s">
        <v>484</v>
      </c>
      <c r="N287" s="16" t="s">
        <v>485</v>
      </c>
      <c r="O287" s="3"/>
      <c r="P287" s="3"/>
      <c r="Q287" s="3"/>
      <c r="R287" s="3"/>
      <c r="S287" s="3"/>
      <c r="T287" s="3"/>
      <c r="U287" s="3"/>
      <c r="V287" s="3"/>
    </row>
    <row r="288" spans="1:22" ht="31.5" x14ac:dyDescent="0.5">
      <c r="A288" s="3" t="s">
        <v>14</v>
      </c>
      <c r="B288" s="3" t="s">
        <v>132</v>
      </c>
      <c r="C288" s="3" t="s">
        <v>1807</v>
      </c>
      <c r="D288" s="3" t="s">
        <v>1808</v>
      </c>
      <c r="E288" s="3" t="s">
        <v>76</v>
      </c>
      <c r="F288" s="3" t="s">
        <v>1809</v>
      </c>
      <c r="G288" s="3" t="s">
        <v>1808</v>
      </c>
      <c r="H288" s="3" t="s">
        <v>20</v>
      </c>
      <c r="I288" s="3" t="s">
        <v>1810</v>
      </c>
      <c r="J288" s="3" t="s">
        <v>1811</v>
      </c>
      <c r="K288" s="3" t="s">
        <v>1811</v>
      </c>
      <c r="L288" s="3" t="s">
        <v>1812</v>
      </c>
      <c r="M288" s="3" t="s">
        <v>23</v>
      </c>
      <c r="N288" s="16" t="str">
        <f>HYPERLINK("https://electionmgmt.vermont.gov/TFA/DownLoadFinancialDisclosure?FileName=NANCY GASSETT FINANCE FORM_dad79895-b3e8-4088-8850-1942c09e685a.pdf", "NANCY GASSETT FINANCE FORM_dad79895-b3e8-4088-8850-1942c09e685a.pdf")</f>
        <v>NANCY GASSETT FINANCE FORM_dad79895-b3e8-4088-8850-1942c09e685a.pdf</v>
      </c>
      <c r="O288" s="3"/>
      <c r="P288" s="3"/>
      <c r="Q288" s="3"/>
      <c r="R288" s="3"/>
      <c r="S288" s="3"/>
      <c r="T288" s="3"/>
      <c r="U288" s="3"/>
      <c r="V288" s="3"/>
    </row>
    <row r="289" spans="1:22" ht="31.5" x14ac:dyDescent="0.5">
      <c r="A289" s="3" t="s">
        <v>14</v>
      </c>
      <c r="B289" s="3" t="s">
        <v>26</v>
      </c>
      <c r="C289" s="3" t="s">
        <v>1304</v>
      </c>
      <c r="D289" s="3" t="s">
        <v>28</v>
      </c>
      <c r="E289" s="3" t="s">
        <v>76</v>
      </c>
      <c r="F289" s="3" t="s">
        <v>1305</v>
      </c>
      <c r="G289" s="3" t="s">
        <v>1306</v>
      </c>
      <c r="H289" s="3" t="s">
        <v>20</v>
      </c>
      <c r="I289" s="3" t="s">
        <v>874</v>
      </c>
      <c r="J289" s="3" t="s">
        <v>23</v>
      </c>
      <c r="K289" s="3" t="s">
        <v>23</v>
      </c>
      <c r="L289" s="3" t="s">
        <v>23</v>
      </c>
      <c r="M289" s="3" t="s">
        <v>23</v>
      </c>
      <c r="N289" s="16" t="str">
        <f>HYPERLINK("https://electionmgmt.vermont.gov/TFA/DownLoadFinancialDisclosure?FileName=20220525125044_2fa2585b-ab1d-43fa-a62a-312e2cfa2f32.pdf", "20220525125044_2fa2585b-ab1d-43fa-a62a-312e2cfa2f32.pdf")</f>
        <v>20220525125044_2fa2585b-ab1d-43fa-a62a-312e2cfa2f32.pdf</v>
      </c>
      <c r="O289" s="3"/>
      <c r="P289" s="3"/>
      <c r="Q289" s="3"/>
      <c r="R289" s="3"/>
      <c r="S289" s="3"/>
      <c r="T289" s="3"/>
      <c r="U289" s="3"/>
      <c r="V289" s="3"/>
    </row>
    <row r="290" spans="1:22" ht="31.5" x14ac:dyDescent="0.5">
      <c r="A290" s="3" t="s">
        <v>14</v>
      </c>
      <c r="B290" s="3" t="s">
        <v>26</v>
      </c>
      <c r="C290" s="3" t="s">
        <v>27</v>
      </c>
      <c r="D290" s="3" t="s">
        <v>28</v>
      </c>
      <c r="E290" s="3" t="s">
        <v>18</v>
      </c>
      <c r="F290" s="3" t="s">
        <v>29</v>
      </c>
      <c r="G290" s="3" t="s">
        <v>28</v>
      </c>
      <c r="H290" s="3" t="s">
        <v>20</v>
      </c>
      <c r="I290" s="3" t="s">
        <v>30</v>
      </c>
      <c r="J290" s="3" t="s">
        <v>206</v>
      </c>
      <c r="K290" s="3" t="s">
        <v>23</v>
      </c>
      <c r="L290" s="3" t="s">
        <v>31</v>
      </c>
      <c r="M290" s="3" t="s">
        <v>23</v>
      </c>
      <c r="N290" s="16" t="str">
        <f>HYPERLINK("https://electionmgmt.vermont.gov/TFA/DownLoadFinancialDisclosure?FileName=20220427120036_d50ceeba-ee9d-476e-bae2-d344e6824e94.pdf", "20220427120036_d50ceeba-ee9d-476e-bae2-d344e6824e94.pdf")</f>
        <v>20220427120036_d50ceeba-ee9d-476e-bae2-d344e6824e94.pdf</v>
      </c>
      <c r="O290" s="3"/>
      <c r="P290" s="3"/>
      <c r="Q290" s="3"/>
      <c r="R290" s="3"/>
      <c r="S290" s="3"/>
      <c r="T290" s="3"/>
      <c r="U290" s="3"/>
      <c r="V290" s="3"/>
    </row>
    <row r="291" spans="1:22" ht="31.5" x14ac:dyDescent="0.5">
      <c r="A291" s="3" t="s">
        <v>14</v>
      </c>
      <c r="B291" s="3" t="s">
        <v>26</v>
      </c>
      <c r="C291" s="3" t="s">
        <v>1307</v>
      </c>
      <c r="D291" s="3" t="s">
        <v>28</v>
      </c>
      <c r="E291" s="3" t="s">
        <v>76</v>
      </c>
      <c r="F291" s="3" t="s">
        <v>1308</v>
      </c>
      <c r="G291" s="3" t="s">
        <v>1306</v>
      </c>
      <c r="H291" s="3" t="s">
        <v>20</v>
      </c>
      <c r="I291" s="3" t="s">
        <v>874</v>
      </c>
      <c r="J291" s="3" t="s">
        <v>1309</v>
      </c>
      <c r="K291" s="3" t="s">
        <v>23</v>
      </c>
      <c r="L291" s="3" t="s">
        <v>1310</v>
      </c>
      <c r="M291" s="3" t="s">
        <v>23</v>
      </c>
      <c r="N291" s="16" t="str">
        <f>HYPERLINK("https://electionmgmt.vermont.gov/TFA/DownLoadFinancialDisclosure?FileName=20220524161459_0c968a6d-30e3-42f7-8321-037c2e948caa.pdf", "20220524161459_0c968a6d-30e3-42f7-8321-037c2e948caa.pdf")</f>
        <v>20220524161459_0c968a6d-30e3-42f7-8321-037c2e948caa.pdf</v>
      </c>
      <c r="O291" s="3"/>
      <c r="P291" s="3"/>
      <c r="Q291" s="3"/>
      <c r="R291" s="3"/>
      <c r="S291" s="3"/>
      <c r="T291" s="3"/>
      <c r="U291" s="3"/>
      <c r="V291" s="3"/>
    </row>
    <row r="292" spans="1:22" ht="31.5" x14ac:dyDescent="0.5">
      <c r="A292" s="3" t="s">
        <v>14</v>
      </c>
      <c r="B292" s="3" t="s">
        <v>26</v>
      </c>
      <c r="C292" s="3" t="s">
        <v>32</v>
      </c>
      <c r="D292" s="3" t="s">
        <v>33</v>
      </c>
      <c r="E292" s="3" t="s">
        <v>18</v>
      </c>
      <c r="F292" s="3" t="s">
        <v>34</v>
      </c>
      <c r="G292" s="3" t="s">
        <v>35</v>
      </c>
      <c r="H292" s="3" t="s">
        <v>20</v>
      </c>
      <c r="I292" s="3" t="s">
        <v>36</v>
      </c>
      <c r="J292" s="3" t="s">
        <v>635</v>
      </c>
      <c r="K292" s="3" t="s">
        <v>23</v>
      </c>
      <c r="L292" s="15" t="s">
        <v>636</v>
      </c>
      <c r="M292" s="3" t="s">
        <v>23</v>
      </c>
      <c r="N292" s="16" t="str">
        <f>HYPERLINK("https://electionmgmt.vermont.gov/TFA/DownLoadFinancialDisclosure?FileName=20220427115527_342baa0b-9bc7-4beb-9622-dfa655206cfd.pdf", "20220427115527_342baa0b-9bc7-4beb-9622-dfa655206cfd.pdf")</f>
        <v>20220427115527_342baa0b-9bc7-4beb-9622-dfa655206cfd.pdf</v>
      </c>
      <c r="O292" s="3"/>
      <c r="P292" s="3"/>
      <c r="Q292" s="3"/>
      <c r="R292" s="3"/>
      <c r="S292" s="3"/>
      <c r="T292" s="3"/>
      <c r="U292" s="3"/>
      <c r="V292" s="3"/>
    </row>
    <row r="293" spans="1:22" ht="31.5" x14ac:dyDescent="0.5">
      <c r="A293" s="3" t="s">
        <v>14</v>
      </c>
      <c r="B293" s="3" t="s">
        <v>870</v>
      </c>
      <c r="C293" s="3" t="s">
        <v>1813</v>
      </c>
      <c r="D293" s="3" t="s">
        <v>1400</v>
      </c>
      <c r="E293" s="3" t="s">
        <v>76</v>
      </c>
      <c r="F293" s="3" t="s">
        <v>1814</v>
      </c>
      <c r="G293" s="3" t="s">
        <v>1400</v>
      </c>
      <c r="H293" s="3" t="s">
        <v>20</v>
      </c>
      <c r="I293" s="3" t="s">
        <v>136</v>
      </c>
      <c r="J293" s="3" t="s">
        <v>1815</v>
      </c>
      <c r="K293" s="3" t="s">
        <v>1815</v>
      </c>
      <c r="L293" s="15" t="s">
        <v>1816</v>
      </c>
      <c r="M293" s="3"/>
      <c r="N293" s="16" t="str">
        <f>HYPERLINK("https://electionmgmt.vermont.gov/TFA/DownLoadFinancialDisclosure?FileName=SKM_C454e22052612220_cde3569d-3160-4f14-9625-6e439d37cd99.pdf", "SKM_C454e22052612220_cde3569d-3160-4f14-9625-6e439d37cd99.pdf")</f>
        <v>SKM_C454e22052612220_cde3569d-3160-4f14-9625-6e439d37cd99.pdf</v>
      </c>
      <c r="O293" s="3"/>
      <c r="P293" s="3"/>
      <c r="Q293" s="3"/>
      <c r="R293" s="3"/>
      <c r="S293" s="3"/>
      <c r="T293" s="3"/>
      <c r="U293" s="3"/>
      <c r="V293" s="3"/>
    </row>
    <row r="294" spans="1:22" ht="31.5" x14ac:dyDescent="0.5">
      <c r="A294" s="3" t="s">
        <v>14</v>
      </c>
      <c r="B294" s="3" t="s">
        <v>870</v>
      </c>
      <c r="C294" s="3" t="s">
        <v>871</v>
      </c>
      <c r="D294" s="3" t="s">
        <v>872</v>
      </c>
      <c r="E294" s="3" t="s">
        <v>18</v>
      </c>
      <c r="F294" s="3" t="s">
        <v>873</v>
      </c>
      <c r="G294" s="3" t="s">
        <v>872</v>
      </c>
      <c r="H294" s="3" t="s">
        <v>20</v>
      </c>
      <c r="I294" s="3" t="s">
        <v>874</v>
      </c>
      <c r="J294" s="3" t="s">
        <v>875</v>
      </c>
      <c r="K294" s="3" t="s">
        <v>875</v>
      </c>
      <c r="L294" s="15" t="s">
        <v>876</v>
      </c>
      <c r="M294" s="3" t="s">
        <v>23</v>
      </c>
      <c r="N294" s="16" t="str">
        <f>HYPERLINK("https://electionmgmt.vermont.gov/TFA/DownLoadFinancialDisclosure?FileName=SKM_C454e22052415500_b80a5f50-d554-472a-96cb-9ecf3d3d15db.pdf", "SKM_C454e22052415500_b80a5f50-d554-472a-96cb-9ecf3d3d15db.pdf")</f>
        <v>SKM_C454e22052415500_b80a5f50-d554-472a-96cb-9ecf3d3d15db.pdf</v>
      </c>
      <c r="O294" s="3"/>
      <c r="P294" s="3"/>
      <c r="Q294" s="3"/>
      <c r="R294" s="3"/>
      <c r="S294" s="3"/>
      <c r="T294" s="3"/>
      <c r="U294" s="3"/>
      <c r="V294" s="3"/>
    </row>
    <row r="295" spans="1:22" ht="31.5" x14ac:dyDescent="0.5">
      <c r="A295" s="3" t="s">
        <v>14</v>
      </c>
      <c r="B295" s="3" t="s">
        <v>877</v>
      </c>
      <c r="C295" s="3" t="s">
        <v>878</v>
      </c>
      <c r="D295" s="3" t="s">
        <v>364</v>
      </c>
      <c r="E295" s="3" t="s">
        <v>18</v>
      </c>
      <c r="F295" s="3" t="s">
        <v>879</v>
      </c>
      <c r="G295" s="3" t="s">
        <v>364</v>
      </c>
      <c r="H295" s="3" t="s">
        <v>20</v>
      </c>
      <c r="I295" s="3" t="s">
        <v>880</v>
      </c>
      <c r="J295" s="3" t="s">
        <v>881</v>
      </c>
      <c r="K295" s="3" t="s">
        <v>23</v>
      </c>
      <c r="L295" s="15" t="s">
        <v>882</v>
      </c>
      <c r="M295" s="3" t="s">
        <v>883</v>
      </c>
      <c r="N295" s="16" t="str">
        <f>HYPERLINK("https://electionmgmt.vermont.gov/TFA/DownLoadFinancialDisclosure?FileName=Financial Disclosure Form Emily Long Windham-5_7c1473ae-a399-4dcb-964a-49ee317ead36.pdf", "Financial Disclosure Form Emily Long Windham-5_7c1473ae-a399-4dcb-964a-49ee317ead36.pdf")</f>
        <v>Financial Disclosure Form Emily Long Windham-5_7c1473ae-a399-4dcb-964a-49ee317ead36.pdf</v>
      </c>
      <c r="O295" s="3"/>
      <c r="P295" s="3"/>
      <c r="Q295" s="3"/>
      <c r="R295" s="3"/>
      <c r="S295" s="3"/>
      <c r="T295" s="3"/>
      <c r="U295" s="3"/>
      <c r="V295" s="3"/>
    </row>
    <row r="296" spans="1:22" ht="31.5" x14ac:dyDescent="0.5">
      <c r="A296" s="3" t="s">
        <v>14</v>
      </c>
      <c r="B296" s="3" t="s">
        <v>1588</v>
      </c>
      <c r="C296" s="3" t="s">
        <v>1817</v>
      </c>
      <c r="D296" s="3" t="s">
        <v>1818</v>
      </c>
      <c r="E296" s="3" t="s">
        <v>76</v>
      </c>
      <c r="F296" s="3" t="s">
        <v>1819</v>
      </c>
      <c r="G296" s="3" t="s">
        <v>1818</v>
      </c>
      <c r="H296" s="3" t="s">
        <v>20</v>
      </c>
      <c r="I296" s="3" t="s">
        <v>1820</v>
      </c>
      <c r="J296" s="3" t="s">
        <v>1821</v>
      </c>
      <c r="K296" s="3" t="s">
        <v>1822</v>
      </c>
      <c r="L296" s="15" t="s">
        <v>1823</v>
      </c>
      <c r="M296" s="3" t="s">
        <v>1824</v>
      </c>
      <c r="N296" s="16" t="str">
        <f>HYPERLINK("https://electionmgmt.vermont.gov/TFA/DownLoadFinancialDisclosure?FileName=Lyddy Candidate Windham 6_6cb09413-9964-4aff-93a6-d15a33b87904.pdf", "Lyddy Candidate Windham 6_6cb09413-9964-4aff-93a6-d15a33b87904.pdf")</f>
        <v>Lyddy Candidate Windham 6_6cb09413-9964-4aff-93a6-d15a33b87904.pdf</v>
      </c>
      <c r="O296" s="3"/>
      <c r="P296" s="3"/>
      <c r="Q296" s="3"/>
      <c r="R296" s="3"/>
      <c r="S296" s="3"/>
      <c r="T296" s="3"/>
      <c r="U296" s="3"/>
      <c r="V296" s="3"/>
    </row>
    <row r="297" spans="1:22" ht="31.5" x14ac:dyDescent="0.5">
      <c r="A297" s="3" t="s">
        <v>14</v>
      </c>
      <c r="B297" s="3" t="s">
        <v>1588</v>
      </c>
      <c r="C297" s="3" t="s">
        <v>1589</v>
      </c>
      <c r="D297" s="3" t="s">
        <v>1590</v>
      </c>
      <c r="E297" s="3" t="s">
        <v>18</v>
      </c>
      <c r="F297" s="3" t="s">
        <v>1591</v>
      </c>
      <c r="G297" s="3" t="s">
        <v>1592</v>
      </c>
      <c r="H297" s="3" t="s">
        <v>20</v>
      </c>
      <c r="I297" s="3" t="s">
        <v>1593</v>
      </c>
      <c r="J297" s="3" t="s">
        <v>1594</v>
      </c>
      <c r="K297" s="3" t="s">
        <v>1594</v>
      </c>
      <c r="L297" s="15" t="s">
        <v>1595</v>
      </c>
      <c r="M297" s="3" t="s">
        <v>1596</v>
      </c>
      <c r="N297" s="16" t="str">
        <f>HYPERLINK("https://electionmgmt.vermont.gov/TFA/DownLoadFinancialDisclosure?FileName=Roberts Candidate Windham 6_c46a909b-e07a-4894-9c0b-661876d04dea.pdf", "Roberts Candidate Windham 6_c46a909b-e07a-4894-9c0b-661876d04dea.pdf")</f>
        <v>Roberts Candidate Windham 6_c46a909b-e07a-4894-9c0b-661876d04dea.pdf</v>
      </c>
      <c r="O297" s="3"/>
      <c r="P297" s="3"/>
      <c r="Q297" s="3"/>
      <c r="R297" s="3"/>
      <c r="S297" s="3"/>
      <c r="T297" s="3"/>
      <c r="U297" s="3"/>
      <c r="V297" s="3"/>
    </row>
    <row r="298" spans="1:22" ht="31.5" x14ac:dyDescent="0.5">
      <c r="A298" s="3" t="s">
        <v>14</v>
      </c>
      <c r="B298" s="3" t="s">
        <v>1086</v>
      </c>
      <c r="C298" s="3" t="s">
        <v>1087</v>
      </c>
      <c r="D298" s="3" t="s">
        <v>134</v>
      </c>
      <c r="E298" s="3" t="s">
        <v>18</v>
      </c>
      <c r="F298" s="3" t="s">
        <v>1088</v>
      </c>
      <c r="G298" s="3" t="s">
        <v>134</v>
      </c>
      <c r="H298" s="3" t="s">
        <v>20</v>
      </c>
      <c r="I298" s="3" t="s">
        <v>136</v>
      </c>
      <c r="J298" s="3" t="s">
        <v>1089</v>
      </c>
      <c r="K298" s="3" t="s">
        <v>1089</v>
      </c>
      <c r="L298" s="15" t="s">
        <v>1090</v>
      </c>
      <c r="M298" s="3" t="s">
        <v>1091</v>
      </c>
      <c r="N298" s="16" t="str">
        <f>HYPERLINK("https://electionmgmt.vermont.gov/TFA/DownLoadFinancialDisclosure?FileName=Kornheiser_Emilie_StateRep_2022AugPrimary_686bb470-1557-4252-8268-688def9cad2b.pdf", "Kornheiser_Emilie_StateRep_2022AugPrimary_686bb470-1557-4252-8268-688def9cad2b.pdf")</f>
        <v>Kornheiser_Emilie_StateRep_2022AugPrimary_686bb470-1557-4252-8268-688def9cad2b.pdf</v>
      </c>
      <c r="O298" s="3"/>
      <c r="P298" s="3"/>
      <c r="Q298" s="3"/>
      <c r="R298" s="3"/>
      <c r="S298" s="3"/>
      <c r="T298" s="3"/>
      <c r="U298" s="3"/>
      <c r="V298" s="3"/>
    </row>
    <row r="299" spans="1:22" ht="31.5" x14ac:dyDescent="0.5">
      <c r="A299" s="3" t="s">
        <v>14</v>
      </c>
      <c r="B299" s="3" t="s">
        <v>389</v>
      </c>
      <c r="C299" s="3" t="s">
        <v>390</v>
      </c>
      <c r="D299" s="3" t="s">
        <v>134</v>
      </c>
      <c r="E299" s="3" t="s">
        <v>18</v>
      </c>
      <c r="F299" s="3" t="s">
        <v>391</v>
      </c>
      <c r="G299" s="3" t="s">
        <v>134</v>
      </c>
      <c r="H299" s="3" t="s">
        <v>20</v>
      </c>
      <c r="I299" s="3" t="s">
        <v>136</v>
      </c>
      <c r="J299" s="3" t="s">
        <v>392</v>
      </c>
      <c r="K299" s="3" t="s">
        <v>392</v>
      </c>
      <c r="L299" s="15" t="s">
        <v>393</v>
      </c>
      <c r="M299" s="3" t="s">
        <v>394</v>
      </c>
      <c r="N299" s="16" t="str">
        <f>HYPERLINK("https://electionmgmt.vermont.gov/TFA/DownLoadFinancialDisclosure?FileName=Burke_Mollie_StateRep_2022AugPrimary_561a4f19-6444-466d-a4e1-a13dbfce9506.pdf", "Burke_Mollie_StateRep_2022AugPrimary_561a4f19-6444-466d-a4e1-a13dbfce9506.pdf")</f>
        <v>Burke_Mollie_StateRep_2022AugPrimary_561a4f19-6444-466d-a4e1-a13dbfce9506.pdf</v>
      </c>
      <c r="O299" s="3"/>
      <c r="P299" s="3"/>
      <c r="Q299" s="3"/>
      <c r="R299" s="3"/>
      <c r="S299" s="3"/>
      <c r="T299" s="3"/>
      <c r="U299" s="3"/>
      <c r="V299" s="3"/>
    </row>
    <row r="300" spans="1:22" ht="31.5" x14ac:dyDescent="0.5">
      <c r="A300" s="3" t="s">
        <v>14</v>
      </c>
      <c r="B300" s="3" t="s">
        <v>1092</v>
      </c>
      <c r="C300" s="3" t="s">
        <v>1093</v>
      </c>
      <c r="D300" s="3" t="s">
        <v>134</v>
      </c>
      <c r="E300" s="3" t="s">
        <v>18</v>
      </c>
      <c r="F300" s="3" t="s">
        <v>1094</v>
      </c>
      <c r="G300" s="3" t="s">
        <v>134</v>
      </c>
      <c r="H300" s="3" t="s">
        <v>20</v>
      </c>
      <c r="I300" s="3" t="s">
        <v>136</v>
      </c>
      <c r="J300" s="3" t="s">
        <v>1095</v>
      </c>
      <c r="K300" s="3" t="s">
        <v>1095</v>
      </c>
      <c r="L300" s="15" t="s">
        <v>1096</v>
      </c>
      <c r="M300" s="3" t="s">
        <v>23</v>
      </c>
      <c r="N300" s="16" t="str">
        <f>HYPERLINK("https://electionmgmt.vermont.gov/TFA/DownLoadFinancialDisclosure?FileName=Toleno_Tristan_StateRep_2022AugPrimary_fd6c078d-6d59-4366-9782-b3998a9f5563.pdf", "Toleno_Tristan_StateRep_2022AugPrimary_fd6c078d-6d59-4366-9782-b3998a9f5563.pdf")</f>
        <v>Toleno_Tristan_StateRep_2022AugPrimary_fd6c078d-6d59-4366-9782-b3998a9f5563.pdf</v>
      </c>
      <c r="O300" s="3"/>
      <c r="P300" s="3"/>
      <c r="Q300" s="3"/>
      <c r="R300" s="3"/>
      <c r="S300" s="3"/>
      <c r="T300" s="3"/>
      <c r="U300" s="3"/>
      <c r="V300" s="3"/>
    </row>
    <row r="301" spans="1:22" ht="31.5" x14ac:dyDescent="0.5">
      <c r="A301" s="3" t="s">
        <v>14</v>
      </c>
      <c r="B301" s="3" t="s">
        <v>1097</v>
      </c>
      <c r="C301" s="3" t="s">
        <v>1098</v>
      </c>
      <c r="D301" s="3" t="s">
        <v>1099</v>
      </c>
      <c r="E301" s="3" t="s">
        <v>18</v>
      </c>
      <c r="F301" s="3" t="s">
        <v>1100</v>
      </c>
      <c r="G301" s="3" t="s">
        <v>1099</v>
      </c>
      <c r="H301" s="3" t="s">
        <v>20</v>
      </c>
      <c r="I301" s="3" t="s">
        <v>1101</v>
      </c>
      <c r="J301" s="3" t="s">
        <v>1102</v>
      </c>
      <c r="K301" s="3" t="s">
        <v>23</v>
      </c>
      <c r="L301" s="15" t="s">
        <v>1103</v>
      </c>
      <c r="M301" s="3" t="s">
        <v>1104</v>
      </c>
      <c r="N301" s="16" t="str">
        <f>HYPERLINK("https://electionmgmt.vermont.gov/TFA/DownLoadFinancialDisclosure?FileName=3474_001_3d4679d6-317e-4a47-9eb4-8737bc6bd596.pdf", "3474_001_3d4679d6-317e-4a47-9eb4-8737bc6bd596.pdf")</f>
        <v>3474_001_3d4679d6-317e-4a47-9eb4-8737bc6bd596.pdf</v>
      </c>
      <c r="O301" s="3"/>
      <c r="P301" s="3"/>
      <c r="Q301" s="3"/>
      <c r="R301" s="3"/>
      <c r="S301" s="3"/>
      <c r="T301" s="3"/>
      <c r="U301" s="3"/>
      <c r="V301" s="3"/>
    </row>
    <row r="302" spans="1:22" ht="31.5" x14ac:dyDescent="0.5">
      <c r="A302" s="3" t="s">
        <v>14</v>
      </c>
      <c r="B302" s="3" t="s">
        <v>1097</v>
      </c>
      <c r="C302" s="3" t="s">
        <v>1105</v>
      </c>
      <c r="D302" s="3" t="s">
        <v>95</v>
      </c>
      <c r="E302" s="3" t="s">
        <v>18</v>
      </c>
      <c r="F302" s="3" t="s">
        <v>1106</v>
      </c>
      <c r="G302" s="3" t="s">
        <v>95</v>
      </c>
      <c r="H302" s="3" t="s">
        <v>20</v>
      </c>
      <c r="I302" s="3" t="s">
        <v>98</v>
      </c>
      <c r="J302" s="3" t="s">
        <v>1107</v>
      </c>
      <c r="K302" s="3" t="s">
        <v>23</v>
      </c>
      <c r="L302" s="15" t="s">
        <v>1108</v>
      </c>
      <c r="M302" s="3" t="s">
        <v>23</v>
      </c>
      <c r="N302" s="16" t="str">
        <f>HYPERLINK("https://electionmgmt.vermont.gov/TFA/DownLoadFinancialDisclosure?FileName=3473_001_7b8c4a76-6d15-47b6-ad48-42fcbe9ae705.pdf", "3473_001_7b8c4a76-6d15-47b6-ad48-42fcbe9ae705.pdf")</f>
        <v>3473_001_7b8c4a76-6d15-47b6-ad48-42fcbe9ae705.pdf</v>
      </c>
      <c r="O302" s="3"/>
      <c r="P302" s="3"/>
      <c r="Q302" s="3"/>
      <c r="R302" s="3"/>
      <c r="S302" s="3"/>
      <c r="T302" s="3"/>
      <c r="U302" s="3"/>
      <c r="V302" s="3"/>
    </row>
    <row r="303" spans="1:22" ht="31.5" x14ac:dyDescent="0.5">
      <c r="A303" s="3" t="s">
        <v>14</v>
      </c>
      <c r="B303" s="3" t="s">
        <v>1097</v>
      </c>
      <c r="C303" s="3" t="s">
        <v>1597</v>
      </c>
      <c r="D303" s="3" t="s">
        <v>1598</v>
      </c>
      <c r="E303" s="3" t="s">
        <v>18</v>
      </c>
      <c r="F303" s="3" t="s">
        <v>1599</v>
      </c>
      <c r="G303" s="3" t="s">
        <v>1600</v>
      </c>
      <c r="H303" s="3" t="s">
        <v>20</v>
      </c>
      <c r="I303" s="3" t="s">
        <v>1601</v>
      </c>
      <c r="J303" s="3" t="s">
        <v>1602</v>
      </c>
      <c r="K303" s="3" t="s">
        <v>23</v>
      </c>
      <c r="L303" s="15" t="s">
        <v>1603</v>
      </c>
      <c r="M303" s="3" t="s">
        <v>1604</v>
      </c>
      <c r="N303" s="16" t="str">
        <f>HYPERLINK("https://electionmgmt.vermont.gov/TFA/DownLoadFinancialDisclosure?FileName=3484_001_9cde6927-8560-4cbe-affb-e1d1e210db25.pdf", "3484_001_9cde6927-8560-4cbe-affb-e1d1e210db25.pdf")</f>
        <v>3484_001_9cde6927-8560-4cbe-affb-e1d1e210db25.pdf</v>
      </c>
      <c r="O303" s="3"/>
      <c r="P303" s="3"/>
      <c r="Q303" s="3"/>
      <c r="R303" s="3"/>
      <c r="S303" s="3"/>
      <c r="T303" s="3"/>
      <c r="U303" s="3"/>
      <c r="V303" s="3"/>
    </row>
    <row r="304" spans="1:22" ht="31.5" x14ac:dyDescent="0.5">
      <c r="A304" s="3" t="s">
        <v>14</v>
      </c>
      <c r="B304" s="3" t="s">
        <v>2078</v>
      </c>
      <c r="C304" s="3" t="s">
        <v>2079</v>
      </c>
      <c r="D304" s="3" t="s">
        <v>1156</v>
      </c>
      <c r="E304" s="3" t="s">
        <v>18</v>
      </c>
      <c r="F304" s="3" t="s">
        <v>2080</v>
      </c>
      <c r="G304" s="3" t="s">
        <v>1156</v>
      </c>
      <c r="H304" s="3" t="s">
        <v>20</v>
      </c>
      <c r="I304" s="3" t="s">
        <v>165</v>
      </c>
      <c r="J304" s="3" t="s">
        <v>23</v>
      </c>
      <c r="K304" s="3" t="s">
        <v>23</v>
      </c>
      <c r="L304" s="15" t="s">
        <v>23</v>
      </c>
      <c r="M304" s="3"/>
      <c r="N304" s="16" t="str">
        <f>HYPERLINK("https://electionmgmt.vermont.gov/TFA/DownLoadFinancialDisclosure?FileName=Arrison John FD_0003dc5e-94c4-4d24-a9a3-bc8135f025c7.pdf", "Arrison John FD_0003dc5e-94c4-4d24-a9a3-bc8135f025c7.pdf")</f>
        <v>Arrison John FD_0003dc5e-94c4-4d24-a9a3-bc8135f025c7.pdf</v>
      </c>
      <c r="O304" s="3"/>
      <c r="P304" s="3"/>
      <c r="Q304" s="3"/>
      <c r="R304" s="3"/>
      <c r="S304" s="3"/>
      <c r="T304" s="3"/>
      <c r="U304" s="3"/>
      <c r="V304" s="3"/>
    </row>
    <row r="305" spans="1:22" ht="31.5" x14ac:dyDescent="0.5">
      <c r="A305" s="3" t="s">
        <v>14</v>
      </c>
      <c r="B305" s="3" t="s">
        <v>575</v>
      </c>
      <c r="C305" s="3" t="s">
        <v>1872</v>
      </c>
      <c r="D305" s="3" t="s">
        <v>163</v>
      </c>
      <c r="E305" s="3" t="s">
        <v>18</v>
      </c>
      <c r="F305" s="3" t="s">
        <v>689</v>
      </c>
      <c r="G305" s="3" t="s">
        <v>163</v>
      </c>
      <c r="H305" s="3" t="s">
        <v>20</v>
      </c>
      <c r="I305" s="3" t="s">
        <v>165</v>
      </c>
      <c r="J305" s="3" t="s">
        <v>690</v>
      </c>
      <c r="K305" s="3" t="s">
        <v>690</v>
      </c>
      <c r="L305" s="15" t="s">
        <v>691</v>
      </c>
      <c r="M305" s="3" t="s">
        <v>23</v>
      </c>
      <c r="N305" s="16" t="str">
        <f>HYPERLINK("https://electionmgmt.vermont.gov/TFA/DownLoadFinancialDisclosure?FileName=Emmons - Financial_91c6062e-f500-4b8c-bdac-fcd535f7f2de.pdf", "Emmons - Financial_91c6062e-f500-4b8c-bdac-fcd535f7f2de.pdf")</f>
        <v>Emmons - Financial_91c6062e-f500-4b8c-bdac-fcd535f7f2de.pdf</v>
      </c>
      <c r="O305" s="3"/>
      <c r="P305" s="3"/>
      <c r="Q305" s="3"/>
      <c r="R305" s="3"/>
      <c r="S305" s="3"/>
      <c r="T305" s="3"/>
      <c r="U305" s="3"/>
      <c r="V305" s="3"/>
    </row>
    <row r="306" spans="1:22" ht="31.5" x14ac:dyDescent="0.5">
      <c r="A306" s="3" t="s">
        <v>14</v>
      </c>
      <c r="B306" s="3" t="s">
        <v>575</v>
      </c>
      <c r="C306" s="3" t="s">
        <v>1873</v>
      </c>
      <c r="D306" s="3" t="s">
        <v>163</v>
      </c>
      <c r="E306" s="3" t="s">
        <v>18</v>
      </c>
      <c r="F306" s="3" t="s">
        <v>632</v>
      </c>
      <c r="G306" s="3" t="s">
        <v>163</v>
      </c>
      <c r="H306" s="3" t="s">
        <v>20</v>
      </c>
      <c r="I306" s="3" t="s">
        <v>165</v>
      </c>
      <c r="J306" s="3" t="s">
        <v>633</v>
      </c>
      <c r="K306" s="3" t="s">
        <v>633</v>
      </c>
      <c r="L306" s="15" t="s">
        <v>634</v>
      </c>
      <c r="M306" s="3" t="s">
        <v>23</v>
      </c>
      <c r="N306" s="16" t="str">
        <f>HYPERLINK("https://electionmgmt.vermont.gov/TFA/DownLoadFinancialDisclosure?FileName=Morris - Financial_778632cc-9e60-4f96-820b-0299af5bf28f.pdf", "Morris - Financial_778632cc-9e60-4f96-820b-0299af5bf28f.pdf")</f>
        <v>Morris - Financial_778632cc-9e60-4f96-820b-0299af5bf28f.pdf</v>
      </c>
      <c r="O306" s="3"/>
      <c r="P306" s="3"/>
      <c r="Q306" s="3"/>
      <c r="R306" s="3"/>
      <c r="S306" s="3"/>
      <c r="T306" s="3"/>
      <c r="U306" s="3"/>
      <c r="V306" s="3"/>
    </row>
    <row r="307" spans="1:22" ht="31.5" x14ac:dyDescent="0.5">
      <c r="A307" s="3" t="s">
        <v>14</v>
      </c>
      <c r="B307" s="3" t="s">
        <v>575</v>
      </c>
      <c r="C307" s="3" t="s">
        <v>576</v>
      </c>
      <c r="D307" s="3" t="s">
        <v>163</v>
      </c>
      <c r="E307" s="3" t="s">
        <v>76</v>
      </c>
      <c r="F307" s="3" t="s">
        <v>577</v>
      </c>
      <c r="G307" s="3" t="s">
        <v>578</v>
      </c>
      <c r="H307" s="3" t="s">
        <v>20</v>
      </c>
      <c r="I307" s="3" t="s">
        <v>579</v>
      </c>
      <c r="J307" s="3" t="s">
        <v>580</v>
      </c>
      <c r="K307" s="3" t="s">
        <v>580</v>
      </c>
      <c r="L307" s="15" t="s">
        <v>581</v>
      </c>
      <c r="M307" s="3"/>
      <c r="N307" s="16" t="str">
        <f>HYPERLINK("https://electionmgmt.vermont.gov/TFA/DownLoadFinancialDisclosure?FileName=Stern - Financial_4f28e06d-5920-4702-be76-13fc72d0ca29.pdf", "Stern - Financial_4f28e06d-5920-4702-be76-13fc72d0ca29.pdf")</f>
        <v>Stern - Financial_4f28e06d-5920-4702-be76-13fc72d0ca29.pdf</v>
      </c>
      <c r="O307" s="3"/>
      <c r="P307" s="3"/>
      <c r="Q307" s="3"/>
      <c r="R307" s="3"/>
      <c r="S307" s="3"/>
      <c r="T307" s="3"/>
      <c r="U307" s="3"/>
      <c r="V307" s="3"/>
    </row>
    <row r="308" spans="1:22" ht="31.5" x14ac:dyDescent="0.5">
      <c r="A308" s="3" t="s">
        <v>14</v>
      </c>
      <c r="B308" s="3" t="s">
        <v>2081</v>
      </c>
      <c r="C308" s="3" t="s">
        <v>2082</v>
      </c>
      <c r="D308" s="3" t="s">
        <v>2083</v>
      </c>
      <c r="E308" s="3" t="s">
        <v>18</v>
      </c>
      <c r="F308" s="3" t="s">
        <v>2084</v>
      </c>
      <c r="G308" s="3" t="s">
        <v>90</v>
      </c>
      <c r="H308" s="3" t="s">
        <v>20</v>
      </c>
      <c r="I308" s="3" t="s">
        <v>2085</v>
      </c>
      <c r="J308" s="3" t="s">
        <v>2086</v>
      </c>
      <c r="K308" s="3" t="s">
        <v>2086</v>
      </c>
      <c r="L308" s="15" t="s">
        <v>23</v>
      </c>
      <c r="M308" s="3" t="s">
        <v>2087</v>
      </c>
      <c r="N308" s="16" t="str">
        <f>HYPERLINK("https://electionmgmt.vermont.gov/TFA/DownLoadFinancialDisclosure?FileName=20220531102112979_ba01940b-21a1-470a-8951-ca269d7cdeb2.pdf", "20220531102112979_ba01940b-21a1-470a-8951-ca269d7cdeb2.pdf")</f>
        <v>20220531102112979_ba01940b-21a1-470a-8951-ca269d7cdeb2.pdf</v>
      </c>
      <c r="O308" s="3"/>
      <c r="P308" s="3"/>
      <c r="Q308" s="3"/>
      <c r="R308" s="3"/>
      <c r="S308" s="3"/>
      <c r="T308" s="3"/>
      <c r="U308" s="3"/>
      <c r="V308" s="3"/>
    </row>
    <row r="309" spans="1:22" ht="31.5" x14ac:dyDescent="0.5">
      <c r="A309" s="3" t="s">
        <v>14</v>
      </c>
      <c r="B309" s="3" t="s">
        <v>251</v>
      </c>
      <c r="C309" s="3" t="s">
        <v>252</v>
      </c>
      <c r="D309" s="3" t="s">
        <v>253</v>
      </c>
      <c r="E309" s="3" t="s">
        <v>18</v>
      </c>
      <c r="F309" s="3" t="s">
        <v>254</v>
      </c>
      <c r="G309" s="3" t="s">
        <v>253</v>
      </c>
      <c r="H309" s="3" t="s">
        <v>20</v>
      </c>
      <c r="I309" s="3" t="s">
        <v>255</v>
      </c>
      <c r="J309" s="3" t="s">
        <v>256</v>
      </c>
      <c r="K309" s="3" t="s">
        <v>23</v>
      </c>
      <c r="L309" s="15" t="s">
        <v>257</v>
      </c>
      <c r="M309" s="3" t="s">
        <v>258</v>
      </c>
      <c r="N309" s="16" t="str">
        <f>HYPERLINK("https://electionmgmt.vermont.gov/TFA/DownLoadFinancialDisclosure?FileName=20220511133619472_7eda0db7-3888-4ef7-823f-03787d869d1b.pdf", "20220511133619472_7eda0db7-3888-4ef7-823f-03787d869d1b.pdf")</f>
        <v>20220511133619472_7eda0db7-3888-4ef7-823f-03787d869d1b.pdf</v>
      </c>
      <c r="O309" s="3"/>
      <c r="P309" s="3"/>
      <c r="Q309" s="3"/>
      <c r="R309" s="3"/>
      <c r="S309" s="3"/>
      <c r="T309" s="3"/>
      <c r="U309" s="3"/>
      <c r="V309" s="3"/>
    </row>
    <row r="310" spans="1:22" ht="31.5" x14ac:dyDescent="0.5">
      <c r="A310" s="3" t="s">
        <v>14</v>
      </c>
      <c r="B310" s="3" t="s">
        <v>1109</v>
      </c>
      <c r="C310" s="3" t="s">
        <v>1110</v>
      </c>
      <c r="D310" s="3" t="s">
        <v>1111</v>
      </c>
      <c r="E310" s="3" t="s">
        <v>18</v>
      </c>
      <c r="F310" s="3" t="s">
        <v>1112</v>
      </c>
      <c r="G310" s="3" t="s">
        <v>1113</v>
      </c>
      <c r="H310" s="3" t="s">
        <v>20</v>
      </c>
      <c r="I310" s="3" t="s">
        <v>1114</v>
      </c>
      <c r="J310" s="3" t="s">
        <v>1115</v>
      </c>
      <c r="K310" s="3" t="s">
        <v>1115</v>
      </c>
      <c r="L310" s="15" t="s">
        <v>1116</v>
      </c>
      <c r="M310" s="3" t="s">
        <v>23</v>
      </c>
      <c r="N310" s="16" t="str">
        <f>HYPERLINK("https://electionmgmt.vermont.gov/TFA/DownLoadFinancialDisclosure?FileName=Bramlage, Nicholas-Financial Disclosure FOrm_708d2d5c-92b2-4bc8-a884-8b66371f4d0d.pdf", "Bramlage, Nicholas-Financial Disclosure FOrm_708d2d5c-92b2-4bc8-a884-8b66371f4d0d.pdf")</f>
        <v>Bramlage, Nicholas-Financial Disclosure FOrm_708d2d5c-92b2-4bc8-a884-8b66371f4d0d.pdf</v>
      </c>
      <c r="O310" s="3"/>
      <c r="P310" s="3"/>
      <c r="Q310" s="3"/>
      <c r="R310" s="3"/>
      <c r="S310" s="3"/>
      <c r="T310" s="3"/>
      <c r="U310" s="3"/>
      <c r="V310" s="3"/>
    </row>
    <row r="311" spans="1:22" ht="31.5" x14ac:dyDescent="0.5">
      <c r="A311" s="3" t="s">
        <v>14</v>
      </c>
      <c r="B311" s="3" t="s">
        <v>1109</v>
      </c>
      <c r="C311" s="3" t="s">
        <v>1605</v>
      </c>
      <c r="D311" s="3" t="s">
        <v>1111</v>
      </c>
      <c r="E311" s="3" t="s">
        <v>18</v>
      </c>
      <c r="F311" s="3" t="s">
        <v>1606</v>
      </c>
      <c r="G311" s="3" t="s">
        <v>1607</v>
      </c>
      <c r="H311" s="3" t="s">
        <v>20</v>
      </c>
      <c r="I311" s="3" t="s">
        <v>1114</v>
      </c>
      <c r="J311" s="3" t="s">
        <v>1608</v>
      </c>
      <c r="K311" s="3" t="s">
        <v>1608</v>
      </c>
      <c r="L311" s="15" t="s">
        <v>1609</v>
      </c>
      <c r="M311" s="3" t="s">
        <v>1610</v>
      </c>
      <c r="N311" s="16" t="str">
        <f>HYPERLINK("https://electionmgmt.vermont.gov/TFA/DownLoadFinancialDisclosure?FileName=Christie, Kevin Financial Disclosure Form_31d95830-3e03-4c0c-820b-8ed9e6e5bea5.pdf", "Christie, Kevin Financial Disclosure Form_31d95830-3e03-4c0c-820b-8ed9e6e5bea5.pdf")</f>
        <v>Christie, Kevin Financial Disclosure Form_31d95830-3e03-4c0c-820b-8ed9e6e5bea5.pdf</v>
      </c>
      <c r="O311" s="3"/>
      <c r="P311" s="3"/>
      <c r="Q311" s="3"/>
      <c r="R311" s="3"/>
      <c r="S311" s="3"/>
      <c r="T311" s="3"/>
      <c r="U311" s="3"/>
      <c r="V311" s="3"/>
    </row>
    <row r="312" spans="1:22" ht="31.5" x14ac:dyDescent="0.5">
      <c r="A312" s="3" t="s">
        <v>14</v>
      </c>
      <c r="B312" s="3" t="s">
        <v>1109</v>
      </c>
      <c r="C312" s="3" t="s">
        <v>1611</v>
      </c>
      <c r="D312" s="3" t="s">
        <v>1111</v>
      </c>
      <c r="E312" s="3" t="s">
        <v>18</v>
      </c>
      <c r="F312" s="3" t="s">
        <v>1612</v>
      </c>
      <c r="G312" s="3" t="s">
        <v>1113</v>
      </c>
      <c r="H312" s="3" t="s">
        <v>20</v>
      </c>
      <c r="I312" s="3" t="s">
        <v>1114</v>
      </c>
      <c r="J312" s="3" t="s">
        <v>1613</v>
      </c>
      <c r="K312" s="3" t="s">
        <v>1613</v>
      </c>
      <c r="L312" s="15" t="s">
        <v>1614</v>
      </c>
      <c r="M312" s="3" t="s">
        <v>23</v>
      </c>
      <c r="N312" s="16" t="str">
        <f>HYPERLINK("https://electionmgmt.vermont.gov/TFA/DownLoadFinancialDisclosure?FileName=COLE, ESME Financial Disclosure Form_45bf84f4-164b-4eaf-a137-ae7968a5bd08.pdf", "COLE, ESME Financial Disclosure Form_45bf84f4-164b-4eaf-a137-ae7968a5bd08.pdf")</f>
        <v>COLE, ESME Financial Disclosure Form_45bf84f4-164b-4eaf-a137-ae7968a5bd08.pdf</v>
      </c>
      <c r="O312" s="3"/>
      <c r="P312" s="3"/>
      <c r="Q312" s="3"/>
      <c r="R312" s="3"/>
      <c r="S312" s="3"/>
      <c r="T312" s="3"/>
      <c r="U312" s="3"/>
      <c r="V312" s="3"/>
    </row>
    <row r="313" spans="1:22" ht="31.5" x14ac:dyDescent="0.5">
      <c r="A313" s="3" t="s">
        <v>14</v>
      </c>
      <c r="B313" s="3" t="s">
        <v>884</v>
      </c>
      <c r="C313" s="3" t="s">
        <v>885</v>
      </c>
      <c r="D313" s="3" t="s">
        <v>886</v>
      </c>
      <c r="E313" s="3" t="s">
        <v>18</v>
      </c>
      <c r="F313" s="3" t="s">
        <v>887</v>
      </c>
      <c r="G313" s="3" t="s">
        <v>886</v>
      </c>
      <c r="H313" s="3" t="s">
        <v>20</v>
      </c>
      <c r="I313" s="3" t="s">
        <v>888</v>
      </c>
      <c r="J313" s="3" t="s">
        <v>889</v>
      </c>
      <c r="K313" s="3" t="s">
        <v>23</v>
      </c>
      <c r="L313" s="15" t="s">
        <v>890</v>
      </c>
      <c r="M313" s="3" t="s">
        <v>891</v>
      </c>
      <c r="N313" s="16" t="str">
        <f>HYPERLINK("https://electionmgmt.vermont.gov/TFA/DownLoadFinancialDisclosure?FileName=K. White Financial Discl. Form_be46377d-6a44-4c34-9746-eeab503b1d05.pdf", "K. White Financial Discl. Form_be46377d-6a44-4c34-9746-eeab503b1d05.pdf")</f>
        <v>K. White Financial Discl. Form_be46377d-6a44-4c34-9746-eeab503b1d05.pdf</v>
      </c>
      <c r="O313" s="3"/>
      <c r="P313" s="3"/>
      <c r="Q313" s="3"/>
      <c r="R313" s="3"/>
      <c r="S313" s="3"/>
      <c r="T313" s="3"/>
      <c r="U313" s="3"/>
      <c r="V313" s="3"/>
    </row>
    <row r="314" spans="1:22" ht="31.5" x14ac:dyDescent="0.5">
      <c r="A314" s="3" t="s">
        <v>14</v>
      </c>
      <c r="B314" s="3" t="s">
        <v>1615</v>
      </c>
      <c r="C314" s="3" t="s">
        <v>1616</v>
      </c>
      <c r="D314" s="3" t="s">
        <v>1617</v>
      </c>
      <c r="E314" s="3" t="s">
        <v>18</v>
      </c>
      <c r="F314" s="3" t="s">
        <v>1618</v>
      </c>
      <c r="G314" s="3" t="s">
        <v>1617</v>
      </c>
      <c r="H314" s="3" t="s">
        <v>20</v>
      </c>
      <c r="I314" s="3" t="s">
        <v>1619</v>
      </c>
      <c r="J314" s="3" t="s">
        <v>1620</v>
      </c>
      <c r="K314" s="3" t="s">
        <v>1620</v>
      </c>
      <c r="L314" s="15" t="s">
        <v>1621</v>
      </c>
      <c r="M314" s="3"/>
      <c r="N314" s="16" t="str">
        <f>HYPERLINK("https://electionmgmt.vermont.gov/TFA/DownLoadFinancialDisclosure?FileName=20220526152901374_b09345ae-d8d1-4cb6-96fc-859ea74305b1.pdf", "20220526152901374_b09345ae-d8d1-4cb6-96fc-859ea74305b1.pdf")</f>
        <v>20220526152901374_b09345ae-d8d1-4cb6-96fc-859ea74305b1.pdf</v>
      </c>
      <c r="O314" s="3"/>
      <c r="P314" s="3"/>
      <c r="Q314" s="3"/>
      <c r="R314" s="3"/>
      <c r="S314" s="3"/>
      <c r="T314" s="3"/>
      <c r="U314" s="3"/>
      <c r="V314" s="3"/>
    </row>
    <row r="315" spans="1:22" ht="31.5" x14ac:dyDescent="0.5">
      <c r="A315" s="3" t="s">
        <v>14</v>
      </c>
      <c r="B315" s="3" t="s">
        <v>506</v>
      </c>
      <c r="C315" s="3" t="s">
        <v>692</v>
      </c>
      <c r="D315" s="3" t="s">
        <v>693</v>
      </c>
      <c r="E315" s="3" t="s">
        <v>18</v>
      </c>
      <c r="F315" s="3" t="s">
        <v>694</v>
      </c>
      <c r="G315" s="3" t="s">
        <v>693</v>
      </c>
      <c r="H315" s="3" t="s">
        <v>20</v>
      </c>
      <c r="I315" s="3" t="s">
        <v>695</v>
      </c>
      <c r="J315" s="3" t="s">
        <v>696</v>
      </c>
      <c r="K315" s="3" t="s">
        <v>23</v>
      </c>
      <c r="L315" s="15" t="s">
        <v>697</v>
      </c>
      <c r="M315" s="3" t="s">
        <v>698</v>
      </c>
      <c r="N315" s="16" t="str">
        <f>HYPERLINK("https://electionmgmt.vermont.gov/TFA/DownLoadFinancialDisclosure?FileName=Gish Financial Disclosure_7698492b-8494-4020-9f64-09854a98547a.pdf", "Gish Financial Disclosure_7698492b-8494-4020-9f64-09854a98547a.pdf")</f>
        <v>Gish Financial Disclosure_7698492b-8494-4020-9f64-09854a98547a.pdf</v>
      </c>
      <c r="O315" s="3"/>
      <c r="P315" s="3"/>
      <c r="Q315" s="3"/>
      <c r="R315" s="3"/>
      <c r="S315" s="3"/>
      <c r="T315" s="3"/>
      <c r="U315" s="3"/>
      <c r="V315" s="3"/>
    </row>
    <row r="316" spans="1:22" ht="31.5" x14ac:dyDescent="0.5">
      <c r="A316" s="3" t="s">
        <v>14</v>
      </c>
      <c r="B316" s="3" t="s">
        <v>506</v>
      </c>
      <c r="C316" s="3" t="s">
        <v>1622</v>
      </c>
      <c r="D316" s="3" t="s">
        <v>1317</v>
      </c>
      <c r="E316" s="3" t="s">
        <v>18</v>
      </c>
      <c r="F316" s="3" t="s">
        <v>1623</v>
      </c>
      <c r="G316" s="3" t="s">
        <v>1317</v>
      </c>
      <c r="H316" s="3" t="s">
        <v>20</v>
      </c>
      <c r="I316" s="3" t="s">
        <v>1624</v>
      </c>
      <c r="J316" s="3" t="s">
        <v>1625</v>
      </c>
      <c r="K316" s="3" t="s">
        <v>1626</v>
      </c>
      <c r="L316" s="15" t="s">
        <v>1627</v>
      </c>
      <c r="M316" s="3" t="s">
        <v>1628</v>
      </c>
      <c r="N316" s="16" t="str">
        <f>HYPERLINK("https://electionmgmt.vermont.gov/TFA/DownLoadFinancialDisclosure?FileName=Holcombe Financial Disclosure_85690866-3623-445f-8eeb-3d49710bdde6.pdf", "Holcombe Financial Disclosure_85690866-3623-445f-8eeb-3d49710bdde6.pdf")</f>
        <v>Holcombe Financial Disclosure_85690866-3623-445f-8eeb-3d49710bdde6.pdf</v>
      </c>
      <c r="O316" s="3"/>
      <c r="P316" s="3"/>
      <c r="Q316" s="3"/>
      <c r="R316" s="3"/>
      <c r="S316" s="3"/>
      <c r="T316" s="3"/>
      <c r="U316" s="3"/>
      <c r="V316" s="3"/>
    </row>
    <row r="317" spans="1:22" ht="31.5" x14ac:dyDescent="0.5">
      <c r="A317" s="3" t="s">
        <v>14</v>
      </c>
      <c r="B317" s="3" t="s">
        <v>506</v>
      </c>
      <c r="C317" s="3" t="s">
        <v>507</v>
      </c>
      <c r="D317" s="3" t="s">
        <v>265</v>
      </c>
      <c r="E317" s="3" t="s">
        <v>76</v>
      </c>
      <c r="F317" s="3" t="s">
        <v>508</v>
      </c>
      <c r="G317" s="3" t="s">
        <v>509</v>
      </c>
      <c r="H317" s="3" t="s">
        <v>20</v>
      </c>
      <c r="I317" s="3" t="s">
        <v>510</v>
      </c>
      <c r="J317" s="3" t="s">
        <v>511</v>
      </c>
      <c r="K317" s="3" t="s">
        <v>511</v>
      </c>
      <c r="L317" s="15" t="s">
        <v>512</v>
      </c>
      <c r="M317" s="3" t="s">
        <v>513</v>
      </c>
      <c r="N317" s="16" t="str">
        <f>HYPERLINK("https://electionmgmt.vermont.gov/TFA/DownLoadFinancialDisclosure?FileName=Huff Financial Disclosure_d24cd8ad-0406-4f00-b9ce-4a6d70d42ecc.pdf", "Huff Financial Disclosure_d24cd8ad-0406-4f00-b9ce-4a6d70d42ecc.pdf")</f>
        <v>Huff Financial Disclosure_d24cd8ad-0406-4f00-b9ce-4a6d70d42ecc.pdf</v>
      </c>
      <c r="O317" s="3"/>
      <c r="P317" s="3"/>
      <c r="Q317" s="3"/>
      <c r="R317" s="3"/>
      <c r="S317" s="3"/>
      <c r="T317" s="3"/>
      <c r="U317" s="3"/>
      <c r="V317" s="3"/>
    </row>
    <row r="318" spans="1:22" ht="31.5" x14ac:dyDescent="0.5">
      <c r="A318" s="3" t="s">
        <v>14</v>
      </c>
      <c r="B318" s="3" t="s">
        <v>506</v>
      </c>
      <c r="C318" s="3" t="s">
        <v>756</v>
      </c>
      <c r="D318" s="3" t="s">
        <v>265</v>
      </c>
      <c r="E318" s="3" t="s">
        <v>18</v>
      </c>
      <c r="F318" s="3" t="s">
        <v>757</v>
      </c>
      <c r="G318" s="3" t="s">
        <v>265</v>
      </c>
      <c r="H318" s="3" t="s">
        <v>20</v>
      </c>
      <c r="I318" s="3" t="s">
        <v>510</v>
      </c>
      <c r="J318" s="3" t="s">
        <v>758</v>
      </c>
      <c r="K318" s="3" t="s">
        <v>23</v>
      </c>
      <c r="L318" s="15" t="s">
        <v>759</v>
      </c>
      <c r="M318" s="3" t="s">
        <v>23</v>
      </c>
      <c r="N318" s="16" t="str">
        <f>HYPERLINK("https://electionmgmt.vermont.gov/TFA/DownLoadFinancialDisclosure?FileName=Masland Campaign Finance_91c403ff-0035-4347-96fe-91cf450cb4e5.pdf", "Masland Campaign Finance_91c403ff-0035-4347-96fe-91cf450cb4e5.pdf")</f>
        <v>Masland Campaign Finance_91c403ff-0035-4347-96fe-91cf450cb4e5.pdf</v>
      </c>
      <c r="O318" s="3"/>
      <c r="P318" s="3"/>
      <c r="Q318" s="3"/>
      <c r="R318" s="3"/>
      <c r="S318" s="3"/>
      <c r="T318" s="3"/>
      <c r="U318" s="3"/>
      <c r="V318" s="3"/>
    </row>
    <row r="319" spans="1:22" ht="31.5" x14ac:dyDescent="0.5">
      <c r="A319" s="3" t="s">
        <v>14</v>
      </c>
      <c r="B319" s="3" t="s">
        <v>148</v>
      </c>
      <c r="C319" s="3" t="s">
        <v>149</v>
      </c>
      <c r="D319" s="3" t="s">
        <v>150</v>
      </c>
      <c r="E319" s="3" t="s">
        <v>18</v>
      </c>
      <c r="F319" s="3" t="s">
        <v>151</v>
      </c>
      <c r="G319" s="3" t="s">
        <v>150</v>
      </c>
      <c r="H319" s="3" t="s">
        <v>20</v>
      </c>
      <c r="I319" s="3" t="s">
        <v>152</v>
      </c>
      <c r="J319" s="3" t="s">
        <v>153</v>
      </c>
      <c r="K319" s="3" t="s">
        <v>23</v>
      </c>
      <c r="L319" s="15" t="s">
        <v>154</v>
      </c>
      <c r="M319" s="3" t="s">
        <v>23</v>
      </c>
      <c r="N319" s="16" t="str">
        <f>HYPERLINK("https://electionmgmt.vermont.gov/TFA/DownLoadFinancialDisclosure?FileName=HC_d1b1b4af-0222-4c99-93ee-97588530557a.pdf", "HC_d1b1b4af-0222-4c99-93ee-97588530557a.pdf")</f>
        <v>HC_d1b1b4af-0222-4c99-93ee-97588530557a.pdf</v>
      </c>
      <c r="O319" s="3"/>
      <c r="P319" s="3"/>
      <c r="Q319" s="3"/>
      <c r="R319" s="3"/>
      <c r="S319" s="3"/>
      <c r="T319" s="3"/>
      <c r="U319" s="3"/>
      <c r="V319" s="3"/>
    </row>
    <row r="320" spans="1:22" ht="31.5" x14ac:dyDescent="0.5">
      <c r="A320" s="3" t="s">
        <v>14</v>
      </c>
      <c r="B320" s="3" t="s">
        <v>148</v>
      </c>
      <c r="C320" s="3" t="s">
        <v>1922</v>
      </c>
      <c r="D320" s="3" t="s">
        <v>150</v>
      </c>
      <c r="E320" s="3" t="s">
        <v>76</v>
      </c>
      <c r="F320" s="3" t="s">
        <v>1923</v>
      </c>
      <c r="G320" s="3" t="s">
        <v>150</v>
      </c>
      <c r="H320" s="3" t="s">
        <v>20</v>
      </c>
      <c r="I320" s="3" t="s">
        <v>152</v>
      </c>
      <c r="J320" s="3" t="s">
        <v>1924</v>
      </c>
      <c r="K320" s="3"/>
      <c r="L320" s="15" t="s">
        <v>1925</v>
      </c>
      <c r="M320" s="3"/>
      <c r="N320" s="16" t="str">
        <f>HYPERLINK("https://electionmgmt.vermont.gov/TFA/DownLoadFinancialDisclosure?FileName=Ryan_699c1c97-f86c-47d4-b323-0926f94fa2cc.pdf", "Ryan_699c1c97-f86c-47d4-b323-0926f94fa2cc.pdf")</f>
        <v>Ryan_699c1c97-f86c-47d4-b323-0926f94fa2cc.pdf</v>
      </c>
      <c r="O320" s="3"/>
      <c r="P320" s="3"/>
      <c r="Q320" s="3"/>
      <c r="R320" s="3"/>
      <c r="S320" s="3"/>
      <c r="T320" s="3"/>
      <c r="U320" s="3"/>
      <c r="V320" s="3"/>
    </row>
    <row r="321" spans="1:22" ht="31.5" x14ac:dyDescent="0.5">
      <c r="A321" s="3" t="s">
        <v>192</v>
      </c>
      <c r="B321" s="3" t="s">
        <v>407</v>
      </c>
      <c r="C321" s="3" t="s">
        <v>552</v>
      </c>
      <c r="D321" s="3" t="s">
        <v>553</v>
      </c>
      <c r="E321" s="3" t="s">
        <v>18</v>
      </c>
      <c r="F321" s="3" t="s">
        <v>554</v>
      </c>
      <c r="G321" s="3" t="s">
        <v>553</v>
      </c>
      <c r="H321" s="3" t="s">
        <v>20</v>
      </c>
      <c r="I321" s="3" t="s">
        <v>411</v>
      </c>
      <c r="J321" s="3" t="s">
        <v>555</v>
      </c>
      <c r="K321" s="3" t="s">
        <v>23</v>
      </c>
      <c r="L321" s="15" t="s">
        <v>556</v>
      </c>
      <c r="M321" s="3"/>
      <c r="N321" s="16"/>
      <c r="O321" s="3"/>
      <c r="P321" s="3"/>
      <c r="Q321" s="3"/>
      <c r="R321" s="3"/>
      <c r="S321" s="3"/>
      <c r="T321" s="3"/>
      <c r="U321" s="3"/>
      <c r="V321" s="3"/>
    </row>
    <row r="322" spans="1:22" ht="31.5" x14ac:dyDescent="0.5">
      <c r="A322" s="3" t="s">
        <v>192</v>
      </c>
      <c r="B322" s="3" t="s">
        <v>177</v>
      </c>
      <c r="C322" s="3" t="s">
        <v>395</v>
      </c>
      <c r="D322" s="3" t="s">
        <v>239</v>
      </c>
      <c r="E322" s="3" t="s">
        <v>18</v>
      </c>
      <c r="F322" s="3" t="s">
        <v>396</v>
      </c>
      <c r="G322" s="3" t="s">
        <v>397</v>
      </c>
      <c r="H322" s="3" t="s">
        <v>20</v>
      </c>
      <c r="I322" s="3" t="s">
        <v>241</v>
      </c>
      <c r="J322" s="3" t="s">
        <v>23</v>
      </c>
      <c r="K322" s="3" t="s">
        <v>398</v>
      </c>
      <c r="L322" s="15" t="s">
        <v>399</v>
      </c>
      <c r="M322" s="3" t="s">
        <v>23</v>
      </c>
      <c r="N322" s="16"/>
      <c r="O322" s="3"/>
      <c r="P322" s="3"/>
      <c r="Q322" s="3"/>
      <c r="R322" s="3"/>
      <c r="S322" s="3"/>
      <c r="T322" s="3"/>
      <c r="U322" s="3"/>
      <c r="V322" s="3"/>
    </row>
    <row r="323" spans="1:22" ht="31.5" x14ac:dyDescent="0.5">
      <c r="A323" s="3" t="s">
        <v>192</v>
      </c>
      <c r="B323" s="3" t="s">
        <v>308</v>
      </c>
      <c r="C323" s="3" t="s">
        <v>1874</v>
      </c>
      <c r="D323" s="3" t="s">
        <v>124</v>
      </c>
      <c r="E323" s="3" t="s">
        <v>18</v>
      </c>
      <c r="F323" s="3" t="s">
        <v>1875</v>
      </c>
      <c r="G323" s="3" t="s">
        <v>1215</v>
      </c>
      <c r="H323" s="3" t="s">
        <v>20</v>
      </c>
      <c r="I323" s="3" t="s">
        <v>1216</v>
      </c>
      <c r="J323" s="3" t="s">
        <v>1876</v>
      </c>
      <c r="K323" s="3" t="s">
        <v>23</v>
      </c>
      <c r="L323" s="15" t="s">
        <v>1877</v>
      </c>
      <c r="M323" s="3"/>
      <c r="N323" s="16"/>
      <c r="O323" s="3"/>
      <c r="P323" s="3"/>
      <c r="Q323" s="3"/>
      <c r="R323" s="3"/>
      <c r="S323" s="3"/>
      <c r="T323" s="3"/>
      <c r="U323" s="3"/>
      <c r="V323" s="3"/>
    </row>
    <row r="324" spans="1:22" ht="31.5" x14ac:dyDescent="0.5">
      <c r="A324" s="3" t="s">
        <v>192</v>
      </c>
      <c r="B324" s="3" t="s">
        <v>38</v>
      </c>
      <c r="C324" s="3" t="s">
        <v>699</v>
      </c>
      <c r="D324" s="3" t="s">
        <v>46</v>
      </c>
      <c r="E324" s="3" t="s">
        <v>18</v>
      </c>
      <c r="F324" s="3" t="s">
        <v>700</v>
      </c>
      <c r="G324" s="3" t="s">
        <v>46</v>
      </c>
      <c r="H324" s="3" t="s">
        <v>20</v>
      </c>
      <c r="I324" s="3" t="s">
        <v>48</v>
      </c>
      <c r="J324" s="3" t="s">
        <v>701</v>
      </c>
      <c r="K324" s="3" t="s">
        <v>701</v>
      </c>
      <c r="L324" s="15" t="s">
        <v>702</v>
      </c>
      <c r="M324" s="3"/>
      <c r="N324" s="16"/>
      <c r="O324" s="3"/>
      <c r="P324" s="3"/>
      <c r="Q324" s="3"/>
      <c r="R324" s="3"/>
      <c r="S324" s="3"/>
      <c r="T324" s="3"/>
      <c r="U324" s="3"/>
      <c r="V324" s="3"/>
    </row>
    <row r="325" spans="1:22" ht="31.5" x14ac:dyDescent="0.5">
      <c r="A325" s="3" t="s">
        <v>192</v>
      </c>
      <c r="B325" s="3" t="s">
        <v>231</v>
      </c>
      <c r="C325" s="3" t="s">
        <v>259</v>
      </c>
      <c r="D325" s="3" t="s">
        <v>260</v>
      </c>
      <c r="E325" s="3" t="s">
        <v>18</v>
      </c>
      <c r="F325" s="3" t="s">
        <v>261</v>
      </c>
      <c r="G325" s="3" t="s">
        <v>262</v>
      </c>
      <c r="H325" s="3" t="s">
        <v>20</v>
      </c>
      <c r="I325" s="3" t="s">
        <v>263</v>
      </c>
      <c r="J325" s="3" t="s">
        <v>23</v>
      </c>
      <c r="K325" s="3" t="s">
        <v>23</v>
      </c>
      <c r="L325" s="15" t="s">
        <v>23</v>
      </c>
      <c r="M325" s="3" t="s">
        <v>23</v>
      </c>
      <c r="N325" s="16"/>
      <c r="O325" s="3"/>
      <c r="P325" s="3"/>
      <c r="Q325" s="3"/>
      <c r="R325" s="3"/>
      <c r="S325" s="3"/>
      <c r="T325" s="3"/>
      <c r="U325" s="3"/>
      <c r="V325" s="3"/>
    </row>
    <row r="326" spans="1:22" ht="31.5" x14ac:dyDescent="0.5">
      <c r="A326" s="3" t="s">
        <v>192</v>
      </c>
      <c r="B326" s="3" t="s">
        <v>231</v>
      </c>
      <c r="C326" s="3" t="s">
        <v>442</v>
      </c>
      <c r="D326" s="3" t="s">
        <v>443</v>
      </c>
      <c r="E326" s="3" t="s">
        <v>76</v>
      </c>
      <c r="F326" s="3" t="s">
        <v>444</v>
      </c>
      <c r="G326" s="3" t="s">
        <v>443</v>
      </c>
      <c r="H326" s="3" t="s">
        <v>20</v>
      </c>
      <c r="I326" s="3" t="s">
        <v>236</v>
      </c>
      <c r="J326" s="3" t="s">
        <v>23</v>
      </c>
      <c r="K326" s="3" t="s">
        <v>23</v>
      </c>
      <c r="L326" s="15"/>
      <c r="M326" s="3"/>
      <c r="N326" s="16"/>
      <c r="O326" s="3"/>
      <c r="P326" s="3"/>
      <c r="Q326" s="3"/>
      <c r="R326" s="3"/>
      <c r="S326" s="3"/>
      <c r="T326" s="3"/>
      <c r="U326" s="3"/>
      <c r="V326" s="3"/>
    </row>
    <row r="327" spans="1:22" ht="31.5" x14ac:dyDescent="0.5">
      <c r="A327" s="3" t="s">
        <v>192</v>
      </c>
      <c r="B327" s="3" t="s">
        <v>52</v>
      </c>
      <c r="C327" s="3" t="s">
        <v>1825</v>
      </c>
      <c r="D327" s="3" t="s">
        <v>943</v>
      </c>
      <c r="E327" s="3" t="s">
        <v>76</v>
      </c>
      <c r="F327" s="3" t="s">
        <v>1826</v>
      </c>
      <c r="G327" s="3" t="s">
        <v>943</v>
      </c>
      <c r="H327" s="3" t="s">
        <v>20</v>
      </c>
      <c r="I327" s="3" t="s">
        <v>944</v>
      </c>
      <c r="J327" s="3" t="s">
        <v>1827</v>
      </c>
      <c r="K327" s="3" t="s">
        <v>23</v>
      </c>
      <c r="L327" s="15" t="s">
        <v>1828</v>
      </c>
      <c r="M327" s="3"/>
      <c r="N327" s="16"/>
      <c r="O327" s="3"/>
      <c r="P327" s="3"/>
      <c r="Q327" s="3"/>
      <c r="R327" s="3"/>
      <c r="S327" s="3"/>
      <c r="T327" s="3"/>
      <c r="U327" s="3"/>
      <c r="V327" s="3"/>
    </row>
    <row r="328" spans="1:22" ht="31.5" x14ac:dyDescent="0.5">
      <c r="A328" s="3" t="s">
        <v>192</v>
      </c>
      <c r="B328" s="3" t="s">
        <v>216</v>
      </c>
      <c r="C328" s="3" t="s">
        <v>1117</v>
      </c>
      <c r="D328" s="3" t="s">
        <v>1118</v>
      </c>
      <c r="E328" s="3" t="s">
        <v>18</v>
      </c>
      <c r="F328" s="3" t="s">
        <v>1119</v>
      </c>
      <c r="G328" s="3" t="s">
        <v>1118</v>
      </c>
      <c r="H328" s="3" t="s">
        <v>20</v>
      </c>
      <c r="I328" s="3" t="s">
        <v>248</v>
      </c>
      <c r="J328" s="3" t="s">
        <v>1120</v>
      </c>
      <c r="K328" s="3" t="s">
        <v>1120</v>
      </c>
      <c r="L328" s="15" t="s">
        <v>1121</v>
      </c>
      <c r="M328" s="3"/>
      <c r="N328" s="16"/>
      <c r="O328" s="3"/>
      <c r="P328" s="3"/>
      <c r="Q328" s="3"/>
      <c r="R328" s="3"/>
      <c r="S328" s="3"/>
      <c r="T328" s="3"/>
      <c r="U328" s="3"/>
      <c r="V328" s="3"/>
    </row>
    <row r="329" spans="1:22" ht="31.5" x14ac:dyDescent="0.5">
      <c r="A329" s="3" t="s">
        <v>192</v>
      </c>
      <c r="B329" s="3" t="s">
        <v>223</v>
      </c>
      <c r="C329" s="3" t="s">
        <v>1311</v>
      </c>
      <c r="D329" s="3" t="s">
        <v>1171</v>
      </c>
      <c r="E329" s="3" t="s">
        <v>76</v>
      </c>
      <c r="F329" s="3" t="s">
        <v>1312</v>
      </c>
      <c r="G329" s="3" t="s">
        <v>223</v>
      </c>
      <c r="H329" s="3" t="s">
        <v>20</v>
      </c>
      <c r="I329" s="3" t="s">
        <v>203</v>
      </c>
      <c r="J329" s="3" t="s">
        <v>1313</v>
      </c>
      <c r="K329" s="3" t="s">
        <v>1313</v>
      </c>
      <c r="L329" s="15" t="s">
        <v>1314</v>
      </c>
      <c r="M329" s="3"/>
      <c r="N329" s="16"/>
      <c r="O329" s="3"/>
      <c r="P329" s="3"/>
      <c r="Q329" s="3"/>
      <c r="R329" s="3"/>
      <c r="S329" s="3"/>
      <c r="T329" s="3"/>
      <c r="U329" s="3"/>
      <c r="V329" s="3"/>
    </row>
    <row r="330" spans="1:22" ht="31.5" x14ac:dyDescent="0.5">
      <c r="A330" s="3" t="s">
        <v>192</v>
      </c>
      <c r="B330" s="3" t="s">
        <v>400</v>
      </c>
      <c r="C330" s="3" t="s">
        <v>401</v>
      </c>
      <c r="D330" s="3" t="s">
        <v>328</v>
      </c>
      <c r="E330" s="3" t="s">
        <v>18</v>
      </c>
      <c r="F330" s="3" t="s">
        <v>402</v>
      </c>
      <c r="G330" s="3" t="s">
        <v>403</v>
      </c>
      <c r="H330" s="3" t="s">
        <v>20</v>
      </c>
      <c r="I330" s="3" t="s">
        <v>404</v>
      </c>
      <c r="J330" s="3" t="s">
        <v>405</v>
      </c>
      <c r="K330" s="3" t="s">
        <v>405</v>
      </c>
      <c r="L330" s="15" t="s">
        <v>406</v>
      </c>
      <c r="M330" s="3" t="s">
        <v>23</v>
      </c>
      <c r="N330" s="16"/>
      <c r="O330" s="3"/>
      <c r="P330" s="3"/>
      <c r="Q330" s="3"/>
      <c r="R330" s="3"/>
      <c r="S330" s="3"/>
      <c r="T330" s="3"/>
      <c r="U330" s="3"/>
      <c r="V330" s="3"/>
    </row>
    <row r="331" spans="1:22" ht="31.5" x14ac:dyDescent="0.5">
      <c r="A331" s="3" t="s">
        <v>192</v>
      </c>
      <c r="B331" s="3" t="s">
        <v>143</v>
      </c>
      <c r="C331" s="3" t="s">
        <v>1122</v>
      </c>
      <c r="D331" s="3" t="s">
        <v>364</v>
      </c>
      <c r="E331" s="3" t="s">
        <v>18</v>
      </c>
      <c r="F331" s="3" t="s">
        <v>1123</v>
      </c>
      <c r="G331" s="3" t="s">
        <v>1124</v>
      </c>
      <c r="H331" s="3" t="s">
        <v>20</v>
      </c>
      <c r="I331" s="3" t="s">
        <v>1125</v>
      </c>
      <c r="J331" s="3" t="s">
        <v>1126</v>
      </c>
      <c r="K331" s="3" t="s">
        <v>23</v>
      </c>
      <c r="L331" s="15" t="s">
        <v>1127</v>
      </c>
      <c r="M331" s="3"/>
      <c r="N331" s="16"/>
      <c r="O331" s="3"/>
      <c r="P331" s="3"/>
      <c r="Q331" s="3"/>
      <c r="R331" s="3"/>
      <c r="S331" s="3"/>
      <c r="T331" s="3"/>
      <c r="U331" s="3"/>
      <c r="V331" s="3"/>
    </row>
    <row r="332" spans="1:22" ht="31.5" x14ac:dyDescent="0.5">
      <c r="A332" s="3" t="s">
        <v>192</v>
      </c>
      <c r="B332" s="3" t="s">
        <v>95</v>
      </c>
      <c r="C332" s="3" t="s">
        <v>193</v>
      </c>
      <c r="D332" s="3" t="s">
        <v>194</v>
      </c>
      <c r="E332" s="3" t="s">
        <v>18</v>
      </c>
      <c r="F332" s="3" t="s">
        <v>195</v>
      </c>
      <c r="G332" s="3" t="s">
        <v>194</v>
      </c>
      <c r="H332" s="3" t="s">
        <v>20</v>
      </c>
      <c r="I332" s="3" t="s">
        <v>196</v>
      </c>
      <c r="J332" s="3" t="s">
        <v>197</v>
      </c>
      <c r="K332" s="3" t="s">
        <v>197</v>
      </c>
      <c r="L332" s="15" t="s">
        <v>198</v>
      </c>
      <c r="M332" s="3"/>
      <c r="N332" s="16"/>
      <c r="O332" s="3"/>
      <c r="P332" s="3"/>
      <c r="Q332" s="3"/>
      <c r="R332" s="3"/>
      <c r="S332" s="3"/>
      <c r="T332" s="3"/>
      <c r="U332" s="3"/>
      <c r="V332" s="3"/>
    </row>
    <row r="333" spans="1:22" ht="31.5" x14ac:dyDescent="0.5">
      <c r="A333" s="3" t="s">
        <v>37</v>
      </c>
      <c r="B333" s="3" t="s">
        <v>407</v>
      </c>
      <c r="C333" s="3" t="s">
        <v>408</v>
      </c>
      <c r="D333" s="3" t="s">
        <v>409</v>
      </c>
      <c r="E333" s="3" t="s">
        <v>18</v>
      </c>
      <c r="F333" s="3" t="s">
        <v>410</v>
      </c>
      <c r="G333" s="3" t="s">
        <v>409</v>
      </c>
      <c r="H333" s="3" t="s">
        <v>20</v>
      </c>
      <c r="I333" s="3" t="s">
        <v>411</v>
      </c>
      <c r="J333" s="3" t="s">
        <v>23</v>
      </c>
      <c r="K333" s="3" t="s">
        <v>23</v>
      </c>
      <c r="L333" s="15" t="s">
        <v>23</v>
      </c>
      <c r="M333" s="3" t="s">
        <v>23</v>
      </c>
      <c r="N333" s="16"/>
      <c r="O333" s="3"/>
      <c r="P333" s="3"/>
      <c r="Q333" s="3"/>
      <c r="R333" s="3"/>
      <c r="S333" s="3"/>
      <c r="T333" s="3"/>
      <c r="U333" s="3"/>
      <c r="V333" s="3"/>
    </row>
    <row r="334" spans="1:22" ht="31.5" x14ac:dyDescent="0.5">
      <c r="A334" s="3" t="s">
        <v>37</v>
      </c>
      <c r="B334" s="3" t="s">
        <v>407</v>
      </c>
      <c r="C334" s="3" t="s">
        <v>703</v>
      </c>
      <c r="D334" s="3" t="s">
        <v>553</v>
      </c>
      <c r="E334" s="3" t="s">
        <v>18</v>
      </c>
      <c r="F334" s="3" t="s">
        <v>704</v>
      </c>
      <c r="G334" s="3" t="s">
        <v>553</v>
      </c>
      <c r="H334" s="3" t="s">
        <v>20</v>
      </c>
      <c r="I334" s="3" t="s">
        <v>411</v>
      </c>
      <c r="J334" s="3" t="s">
        <v>705</v>
      </c>
      <c r="K334" s="3" t="s">
        <v>23</v>
      </c>
      <c r="L334" s="15" t="s">
        <v>706</v>
      </c>
      <c r="M334" s="3" t="s">
        <v>23</v>
      </c>
      <c r="N334" s="16"/>
      <c r="O334" s="3"/>
      <c r="P334" s="3"/>
      <c r="Q334" s="3"/>
      <c r="R334" s="3"/>
      <c r="S334" s="3"/>
      <c r="T334" s="3"/>
      <c r="U334" s="3"/>
      <c r="V334" s="3"/>
    </row>
    <row r="335" spans="1:22" ht="31.5" x14ac:dyDescent="0.5">
      <c r="A335" s="3" t="s">
        <v>37</v>
      </c>
      <c r="B335" s="3" t="s">
        <v>177</v>
      </c>
      <c r="C335" s="3" t="s">
        <v>412</v>
      </c>
      <c r="D335" s="3" t="s">
        <v>239</v>
      </c>
      <c r="E335" s="3" t="s">
        <v>18</v>
      </c>
      <c r="F335" s="3" t="s">
        <v>413</v>
      </c>
      <c r="G335" s="3" t="s">
        <v>397</v>
      </c>
      <c r="H335" s="3" t="s">
        <v>20</v>
      </c>
      <c r="I335" s="3" t="s">
        <v>414</v>
      </c>
      <c r="J335" s="3" t="s">
        <v>415</v>
      </c>
      <c r="K335" s="3" t="s">
        <v>23</v>
      </c>
      <c r="L335" s="15" t="s">
        <v>416</v>
      </c>
      <c r="M335" s="3" t="s">
        <v>23</v>
      </c>
      <c r="N335" s="16"/>
      <c r="O335" s="3"/>
      <c r="P335" s="3"/>
      <c r="Q335" s="3"/>
      <c r="R335" s="3"/>
      <c r="S335" s="3"/>
      <c r="T335" s="3"/>
      <c r="U335" s="3"/>
      <c r="V335" s="3"/>
    </row>
    <row r="336" spans="1:22" ht="31.5" x14ac:dyDescent="0.5">
      <c r="A336" s="3" t="s">
        <v>37</v>
      </c>
      <c r="B336" s="3" t="s">
        <v>177</v>
      </c>
      <c r="C336" s="3" t="s">
        <v>1891</v>
      </c>
      <c r="D336" s="3" t="s">
        <v>177</v>
      </c>
      <c r="E336" s="3" t="s">
        <v>18</v>
      </c>
      <c r="F336" s="3" t="s">
        <v>1128</v>
      </c>
      <c r="G336" s="3" t="s">
        <v>177</v>
      </c>
      <c r="H336" s="3" t="s">
        <v>20</v>
      </c>
      <c r="I336" s="3" t="s">
        <v>179</v>
      </c>
      <c r="J336" s="3" t="s">
        <v>2171</v>
      </c>
      <c r="K336" s="3"/>
      <c r="L336" s="15" t="s">
        <v>2170</v>
      </c>
      <c r="M336" s="3"/>
      <c r="N336" s="16"/>
      <c r="O336" s="3"/>
      <c r="P336" s="3"/>
      <c r="Q336" s="3"/>
      <c r="R336" s="3"/>
      <c r="S336" s="3"/>
      <c r="T336" s="3"/>
      <c r="U336" s="3"/>
      <c r="V336" s="3"/>
    </row>
    <row r="337" spans="1:22" ht="31.5" x14ac:dyDescent="0.5">
      <c r="A337" s="3" t="s">
        <v>37</v>
      </c>
      <c r="B337" s="3" t="s">
        <v>38</v>
      </c>
      <c r="C337" s="3" t="s">
        <v>39</v>
      </c>
      <c r="D337" s="3" t="s">
        <v>40</v>
      </c>
      <c r="E337" s="3" t="s">
        <v>18</v>
      </c>
      <c r="F337" s="3" t="s">
        <v>41</v>
      </c>
      <c r="G337" s="3" t="s">
        <v>40</v>
      </c>
      <c r="H337" s="3" t="s">
        <v>20</v>
      </c>
      <c r="I337" s="3" t="s">
        <v>42</v>
      </c>
      <c r="J337" s="3" t="s">
        <v>43</v>
      </c>
      <c r="K337" s="3" t="s">
        <v>43</v>
      </c>
      <c r="L337" s="3" t="s">
        <v>44</v>
      </c>
      <c r="M337" s="3" t="s">
        <v>23</v>
      </c>
      <c r="N337" s="16"/>
      <c r="O337" s="3"/>
      <c r="P337" s="3"/>
      <c r="Q337" s="3"/>
      <c r="R337" s="3"/>
      <c r="S337" s="3"/>
      <c r="T337" s="3"/>
      <c r="U337" s="3"/>
      <c r="V337" s="3"/>
    </row>
    <row r="338" spans="1:22" ht="31.5" x14ac:dyDescent="0.5">
      <c r="A338" s="3" t="s">
        <v>37</v>
      </c>
      <c r="B338" s="3" t="s">
        <v>38</v>
      </c>
      <c r="C338" s="3" t="s">
        <v>45</v>
      </c>
      <c r="D338" s="3" t="s">
        <v>46</v>
      </c>
      <c r="E338" s="3" t="s">
        <v>18</v>
      </c>
      <c r="F338" s="3" t="s">
        <v>47</v>
      </c>
      <c r="G338" s="3" t="s">
        <v>46</v>
      </c>
      <c r="H338" s="3" t="s">
        <v>20</v>
      </c>
      <c r="I338" s="3" t="s">
        <v>48</v>
      </c>
      <c r="J338" s="3" t="s">
        <v>49</v>
      </c>
      <c r="K338" s="3" t="s">
        <v>49</v>
      </c>
      <c r="L338" s="3" t="s">
        <v>50</v>
      </c>
      <c r="M338" s="3" t="s">
        <v>51</v>
      </c>
      <c r="N338" s="16"/>
      <c r="O338" s="3"/>
      <c r="P338" s="3"/>
      <c r="Q338" s="3"/>
      <c r="R338" s="3"/>
      <c r="S338" s="3"/>
      <c r="T338" s="3"/>
      <c r="U338" s="3"/>
      <c r="V338" s="3"/>
    </row>
    <row r="339" spans="1:22" ht="31.5" x14ac:dyDescent="0.5">
      <c r="A339" s="3" t="s">
        <v>37</v>
      </c>
      <c r="B339" s="3" t="s">
        <v>272</v>
      </c>
      <c r="C339" s="3" t="s">
        <v>663</v>
      </c>
      <c r="D339" s="3" t="s">
        <v>664</v>
      </c>
      <c r="E339" s="3" t="s">
        <v>76</v>
      </c>
      <c r="F339" s="3" t="s">
        <v>2221</v>
      </c>
      <c r="G339" s="3" t="s">
        <v>2222</v>
      </c>
      <c r="H339" s="3" t="s">
        <v>20</v>
      </c>
      <c r="I339" s="3" t="s">
        <v>2223</v>
      </c>
      <c r="J339" s="3" t="s">
        <v>2224</v>
      </c>
      <c r="K339" s="3"/>
      <c r="L339" s="3" t="s">
        <v>2225</v>
      </c>
      <c r="M339" s="3"/>
      <c r="N339" s="16"/>
      <c r="O339" s="3"/>
      <c r="P339" s="3"/>
      <c r="Q339" s="3"/>
      <c r="R339" s="3"/>
      <c r="S339" s="3"/>
      <c r="T339" s="3"/>
      <c r="U339" s="3"/>
      <c r="V339" s="3"/>
    </row>
    <row r="340" spans="1:22" ht="31.5" x14ac:dyDescent="0.5">
      <c r="A340" s="3" t="s">
        <v>37</v>
      </c>
      <c r="B340" s="3" t="s">
        <v>272</v>
      </c>
      <c r="C340" s="3" t="s">
        <v>1979</v>
      </c>
      <c r="D340" s="3" t="s">
        <v>1974</v>
      </c>
      <c r="E340" s="3" t="s">
        <v>76</v>
      </c>
      <c r="F340" s="3" t="s">
        <v>1980</v>
      </c>
      <c r="G340" s="3" t="s">
        <v>1974</v>
      </c>
      <c r="H340" s="3" t="s">
        <v>20</v>
      </c>
      <c r="I340" s="3">
        <v>5906</v>
      </c>
      <c r="J340" s="3" t="s">
        <v>1981</v>
      </c>
      <c r="K340" s="3"/>
      <c r="L340" s="3" t="s">
        <v>1982</v>
      </c>
      <c r="M340" s="3"/>
      <c r="N340" s="16"/>
      <c r="O340" s="3"/>
      <c r="P340" s="3"/>
      <c r="Q340" s="3"/>
      <c r="R340" s="3"/>
      <c r="S340" s="3"/>
      <c r="T340" s="3"/>
      <c r="U340" s="3"/>
      <c r="V340" s="3"/>
    </row>
    <row r="341" spans="1:22" ht="31.5" x14ac:dyDescent="0.5">
      <c r="A341" s="3" t="s">
        <v>37</v>
      </c>
      <c r="B341" s="3" t="s">
        <v>231</v>
      </c>
      <c r="C341" s="3" t="s">
        <v>1629</v>
      </c>
      <c r="D341" s="3" t="s">
        <v>443</v>
      </c>
      <c r="E341" s="3" t="s">
        <v>18</v>
      </c>
      <c r="F341" s="3" t="s">
        <v>1630</v>
      </c>
      <c r="G341" s="3" t="s">
        <v>1631</v>
      </c>
      <c r="H341" s="3" t="s">
        <v>20</v>
      </c>
      <c r="I341" s="3" t="s">
        <v>236</v>
      </c>
      <c r="J341" s="3" t="s">
        <v>1632</v>
      </c>
      <c r="K341" s="3" t="s">
        <v>23</v>
      </c>
      <c r="L341" s="3"/>
      <c r="M341" s="3"/>
      <c r="N341" s="16"/>
      <c r="O341" s="3"/>
      <c r="P341" s="3"/>
      <c r="Q341" s="3"/>
      <c r="R341" s="3"/>
      <c r="S341" s="3"/>
      <c r="T341" s="3"/>
      <c r="U341" s="3"/>
      <c r="V341" s="3"/>
    </row>
    <row r="342" spans="1:22" ht="31.5" x14ac:dyDescent="0.5">
      <c r="A342" s="3" t="s">
        <v>37</v>
      </c>
      <c r="B342" s="3" t="s">
        <v>231</v>
      </c>
      <c r="C342" s="3" t="s">
        <v>1889</v>
      </c>
      <c r="D342" s="3" t="s">
        <v>233</v>
      </c>
      <c r="E342" s="3" t="s">
        <v>76</v>
      </c>
      <c r="F342" s="3" t="s">
        <v>1315</v>
      </c>
      <c r="G342" s="3" t="s">
        <v>233</v>
      </c>
      <c r="H342" s="3" t="s">
        <v>20</v>
      </c>
      <c r="I342" s="3" t="s">
        <v>236</v>
      </c>
      <c r="J342" s="3" t="s">
        <v>23</v>
      </c>
      <c r="K342" s="3"/>
      <c r="L342" s="3"/>
      <c r="M342" s="3"/>
      <c r="N342" s="16"/>
      <c r="O342" s="3"/>
      <c r="P342" s="3"/>
      <c r="Q342" s="3"/>
      <c r="R342" s="3"/>
      <c r="S342" s="3"/>
      <c r="T342" s="3"/>
      <c r="U342" s="3"/>
      <c r="V342" s="3"/>
    </row>
    <row r="343" spans="1:22" ht="31.5" x14ac:dyDescent="0.5">
      <c r="A343" s="3" t="s">
        <v>37</v>
      </c>
      <c r="B343" s="3" t="s">
        <v>52</v>
      </c>
      <c r="C343" s="3" t="s">
        <v>82</v>
      </c>
      <c r="D343" s="3" t="s">
        <v>54</v>
      </c>
      <c r="E343" s="3" t="s">
        <v>76</v>
      </c>
      <c r="F343" s="3" t="s">
        <v>83</v>
      </c>
      <c r="G343" s="3" t="s">
        <v>54</v>
      </c>
      <c r="H343" s="3" t="s">
        <v>20</v>
      </c>
      <c r="I343" s="3" t="s">
        <v>56</v>
      </c>
      <c r="J343" s="3" t="s">
        <v>84</v>
      </c>
      <c r="K343" s="3" t="s">
        <v>23</v>
      </c>
      <c r="L343" s="3" t="s">
        <v>85</v>
      </c>
      <c r="M343" s="3"/>
      <c r="N343" s="16"/>
      <c r="O343" s="3"/>
      <c r="P343" s="3"/>
      <c r="Q343" s="3"/>
      <c r="R343" s="3"/>
      <c r="S343" s="3"/>
      <c r="T343" s="3"/>
      <c r="U343" s="3"/>
      <c r="V343" s="3"/>
    </row>
    <row r="344" spans="1:22" ht="31.5" x14ac:dyDescent="0.5">
      <c r="A344" s="3" t="s">
        <v>37</v>
      </c>
      <c r="B344" s="3" t="s">
        <v>52</v>
      </c>
      <c r="C344" s="3" t="s">
        <v>53</v>
      </c>
      <c r="D344" s="3" t="s">
        <v>54</v>
      </c>
      <c r="E344" s="3" t="s">
        <v>18</v>
      </c>
      <c r="F344" s="3" t="s">
        <v>55</v>
      </c>
      <c r="G344" s="3" t="s">
        <v>54</v>
      </c>
      <c r="H344" s="3" t="s">
        <v>20</v>
      </c>
      <c r="I344" s="3" t="s">
        <v>56</v>
      </c>
      <c r="J344" s="3" t="s">
        <v>57</v>
      </c>
      <c r="K344" s="3" t="s">
        <v>23</v>
      </c>
      <c r="L344" s="3" t="s">
        <v>58</v>
      </c>
      <c r="M344" s="3" t="s">
        <v>23</v>
      </c>
      <c r="N344" s="16"/>
      <c r="O344" s="3"/>
      <c r="P344" s="3"/>
      <c r="Q344" s="3"/>
      <c r="R344" s="3"/>
      <c r="S344" s="3"/>
      <c r="T344" s="3"/>
      <c r="U344" s="3"/>
      <c r="V344" s="3"/>
    </row>
    <row r="345" spans="1:22" ht="31.5" x14ac:dyDescent="0.5">
      <c r="A345" s="3" t="s">
        <v>37</v>
      </c>
      <c r="B345" s="3" t="s">
        <v>301</v>
      </c>
      <c r="C345" s="3" t="s">
        <v>1129</v>
      </c>
      <c r="D345" s="3" t="s">
        <v>1046</v>
      </c>
      <c r="E345" s="3" t="s">
        <v>18</v>
      </c>
      <c r="F345" s="3" t="s">
        <v>1130</v>
      </c>
      <c r="G345" s="3" t="s">
        <v>1046</v>
      </c>
      <c r="H345" s="3" t="s">
        <v>20</v>
      </c>
      <c r="I345" s="3" t="s">
        <v>1048</v>
      </c>
      <c r="J345" s="3" t="s">
        <v>1131</v>
      </c>
      <c r="K345" s="3" t="s">
        <v>23</v>
      </c>
      <c r="L345" s="3" t="s">
        <v>1132</v>
      </c>
      <c r="M345" s="3"/>
      <c r="N345" s="16"/>
      <c r="O345" s="3"/>
      <c r="P345" s="3"/>
      <c r="Q345" s="3"/>
      <c r="R345" s="3"/>
      <c r="S345" s="3"/>
      <c r="T345" s="3"/>
      <c r="U345" s="3"/>
      <c r="V345" s="3"/>
    </row>
    <row r="346" spans="1:22" ht="31.5" x14ac:dyDescent="0.5">
      <c r="A346" s="3" t="s">
        <v>37</v>
      </c>
      <c r="B346" s="3" t="s">
        <v>301</v>
      </c>
      <c r="C346" s="3" t="s">
        <v>302</v>
      </c>
      <c r="D346" s="3" t="s">
        <v>303</v>
      </c>
      <c r="E346" s="3" t="s">
        <v>18</v>
      </c>
      <c r="F346" s="3" t="s">
        <v>304</v>
      </c>
      <c r="G346" s="3" t="s">
        <v>303</v>
      </c>
      <c r="H346" s="3" t="s">
        <v>20</v>
      </c>
      <c r="I346" s="3" t="s">
        <v>305</v>
      </c>
      <c r="J346" s="3" t="s">
        <v>306</v>
      </c>
      <c r="K346" s="3" t="s">
        <v>306</v>
      </c>
      <c r="L346" s="3" t="s">
        <v>307</v>
      </c>
      <c r="M346" s="3"/>
      <c r="N346" s="16"/>
      <c r="O346" s="3"/>
      <c r="P346" s="3"/>
      <c r="Q346" s="3"/>
      <c r="R346" s="3"/>
      <c r="S346" s="3"/>
      <c r="T346" s="3"/>
      <c r="U346" s="3"/>
      <c r="V346" s="3"/>
    </row>
    <row r="347" spans="1:22" ht="31.5" x14ac:dyDescent="0.5">
      <c r="A347" s="3" t="s">
        <v>37</v>
      </c>
      <c r="B347" s="3" t="s">
        <v>216</v>
      </c>
      <c r="C347" s="3" t="s">
        <v>264</v>
      </c>
      <c r="D347" s="3" t="s">
        <v>265</v>
      </c>
      <c r="E347" s="3" t="s">
        <v>18</v>
      </c>
      <c r="F347" s="3" t="s">
        <v>266</v>
      </c>
      <c r="G347" s="3" t="s">
        <v>265</v>
      </c>
      <c r="H347" s="3" t="s">
        <v>20</v>
      </c>
      <c r="I347" s="3" t="s">
        <v>267</v>
      </c>
      <c r="J347" s="3" t="s">
        <v>268</v>
      </c>
      <c r="K347" s="3" t="s">
        <v>23</v>
      </c>
      <c r="L347" s="3" t="s">
        <v>269</v>
      </c>
      <c r="M347" s="3"/>
      <c r="N347" s="16"/>
      <c r="O347" s="3"/>
      <c r="P347" s="3"/>
      <c r="Q347" s="3"/>
      <c r="R347" s="3"/>
      <c r="S347" s="3"/>
      <c r="T347" s="3"/>
      <c r="U347" s="3"/>
      <c r="V347" s="3"/>
    </row>
    <row r="348" spans="1:22" ht="31.5" x14ac:dyDescent="0.5">
      <c r="A348" s="3" t="s">
        <v>37</v>
      </c>
      <c r="B348" s="3" t="s">
        <v>216</v>
      </c>
      <c r="C348" s="3" t="s">
        <v>217</v>
      </c>
      <c r="D348" s="3" t="s">
        <v>218</v>
      </c>
      <c r="E348" s="3" t="s">
        <v>18</v>
      </c>
      <c r="F348" s="3" t="s">
        <v>219</v>
      </c>
      <c r="G348" s="3" t="s">
        <v>218</v>
      </c>
      <c r="H348" s="3" t="s">
        <v>20</v>
      </c>
      <c r="I348" s="3" t="s">
        <v>220</v>
      </c>
      <c r="J348" s="3" t="s">
        <v>221</v>
      </c>
      <c r="K348" s="3" t="s">
        <v>23</v>
      </c>
      <c r="L348" s="3" t="s">
        <v>222</v>
      </c>
      <c r="M348" s="3" t="s">
        <v>23</v>
      </c>
      <c r="N348" s="16"/>
      <c r="O348" s="3"/>
      <c r="P348" s="3"/>
      <c r="Q348" s="3"/>
      <c r="R348" s="3"/>
      <c r="S348" s="3"/>
      <c r="T348" s="3"/>
      <c r="U348" s="3"/>
      <c r="V348" s="3"/>
    </row>
    <row r="349" spans="1:22" ht="31.5" x14ac:dyDescent="0.5">
      <c r="A349" s="3" t="s">
        <v>37</v>
      </c>
      <c r="B349" s="3" t="s">
        <v>108</v>
      </c>
      <c r="C349" s="3" t="s">
        <v>109</v>
      </c>
      <c r="D349" s="3" t="s">
        <v>110</v>
      </c>
      <c r="E349" s="3" t="s">
        <v>76</v>
      </c>
      <c r="F349" s="3" t="s">
        <v>111</v>
      </c>
      <c r="G349" s="3" t="s">
        <v>110</v>
      </c>
      <c r="H349" s="3" t="s">
        <v>20</v>
      </c>
      <c r="I349" s="3" t="s">
        <v>112</v>
      </c>
      <c r="J349" s="3" t="s">
        <v>113</v>
      </c>
      <c r="K349" s="3" t="s">
        <v>113</v>
      </c>
      <c r="L349" s="3" t="s">
        <v>114</v>
      </c>
      <c r="M349" s="3"/>
      <c r="N349" s="16"/>
      <c r="O349" s="3"/>
      <c r="P349" s="3"/>
      <c r="Q349" s="3"/>
      <c r="R349" s="3"/>
      <c r="S349" s="3"/>
      <c r="T349" s="3"/>
      <c r="U349" s="3"/>
      <c r="V349" s="3"/>
    </row>
    <row r="350" spans="1:22" ht="31.5" x14ac:dyDescent="0.5">
      <c r="A350" s="3" t="s">
        <v>37</v>
      </c>
      <c r="B350" s="3" t="s">
        <v>108</v>
      </c>
      <c r="C350" s="3" t="s">
        <v>1890</v>
      </c>
      <c r="D350" s="3" t="s">
        <v>110</v>
      </c>
      <c r="E350" s="3" t="s">
        <v>76</v>
      </c>
      <c r="F350" s="3" t="s">
        <v>1829</v>
      </c>
      <c r="G350" s="3" t="s">
        <v>913</v>
      </c>
      <c r="H350" s="3" t="s">
        <v>20</v>
      </c>
      <c r="I350" s="3" t="s">
        <v>914</v>
      </c>
      <c r="J350" s="3" t="s">
        <v>1830</v>
      </c>
      <c r="K350" s="3" t="s">
        <v>1830</v>
      </c>
      <c r="L350" s="3" t="s">
        <v>1831</v>
      </c>
      <c r="M350" s="3"/>
      <c r="N350" s="16"/>
      <c r="O350" s="3"/>
      <c r="P350" s="3"/>
      <c r="Q350" s="3"/>
      <c r="R350" s="3"/>
      <c r="S350" s="3"/>
      <c r="T350" s="3"/>
      <c r="U350" s="3"/>
      <c r="V350" s="3"/>
    </row>
    <row r="351" spans="1:22" ht="31.5" x14ac:dyDescent="0.5">
      <c r="A351" s="3" t="s">
        <v>37</v>
      </c>
      <c r="B351" s="3" t="s">
        <v>223</v>
      </c>
      <c r="C351" s="3" t="s">
        <v>1832</v>
      </c>
      <c r="D351" s="3" t="s">
        <v>860</v>
      </c>
      <c r="E351" s="3" t="s">
        <v>76</v>
      </c>
      <c r="F351" s="3" t="s">
        <v>1833</v>
      </c>
      <c r="G351" s="3" t="s">
        <v>223</v>
      </c>
      <c r="H351" s="3" t="s">
        <v>20</v>
      </c>
      <c r="I351" s="3" t="s">
        <v>867</v>
      </c>
      <c r="J351" s="3" t="s">
        <v>1834</v>
      </c>
      <c r="K351" s="3" t="s">
        <v>1834</v>
      </c>
      <c r="L351" s="3" t="s">
        <v>1835</v>
      </c>
      <c r="M351" s="3"/>
      <c r="N351" s="16"/>
      <c r="O351" s="3"/>
      <c r="P351" s="3"/>
      <c r="Q351" s="3"/>
      <c r="R351" s="3"/>
      <c r="S351" s="3"/>
      <c r="T351" s="3"/>
      <c r="U351" s="3"/>
      <c r="V351" s="3"/>
    </row>
    <row r="352" spans="1:22" ht="31.5" x14ac:dyDescent="0.5">
      <c r="A352" s="3" t="s">
        <v>37</v>
      </c>
      <c r="B352" s="3" t="s">
        <v>400</v>
      </c>
      <c r="C352" s="3" t="s">
        <v>417</v>
      </c>
      <c r="D352" s="3" t="s">
        <v>90</v>
      </c>
      <c r="E352" s="3" t="s">
        <v>18</v>
      </c>
      <c r="F352" s="3" t="s">
        <v>418</v>
      </c>
      <c r="G352" s="3" t="s">
        <v>90</v>
      </c>
      <c r="H352" s="3" t="s">
        <v>20</v>
      </c>
      <c r="I352" s="3" t="s">
        <v>419</v>
      </c>
      <c r="J352" s="3" t="s">
        <v>420</v>
      </c>
      <c r="K352" s="3" t="s">
        <v>420</v>
      </c>
      <c r="L352" s="3" t="s">
        <v>421</v>
      </c>
      <c r="M352" s="3" t="s">
        <v>23</v>
      </c>
      <c r="N352" s="16"/>
      <c r="O352" s="3"/>
      <c r="P352" s="3"/>
      <c r="Q352" s="3"/>
      <c r="R352" s="3"/>
      <c r="S352" s="3"/>
      <c r="T352" s="3"/>
      <c r="U352" s="3"/>
      <c r="V352" s="3"/>
    </row>
    <row r="353" spans="1:22" ht="31.5" x14ac:dyDescent="0.5">
      <c r="A353" s="3" t="s">
        <v>37</v>
      </c>
      <c r="B353" s="3" t="s">
        <v>400</v>
      </c>
      <c r="C353" s="3" t="s">
        <v>422</v>
      </c>
      <c r="D353" s="3" t="s">
        <v>90</v>
      </c>
      <c r="E353" s="3" t="s">
        <v>18</v>
      </c>
      <c r="F353" s="3" t="s">
        <v>423</v>
      </c>
      <c r="G353" s="3" t="s">
        <v>90</v>
      </c>
      <c r="H353" s="3" t="s">
        <v>20</v>
      </c>
      <c r="I353" s="3" t="s">
        <v>419</v>
      </c>
      <c r="J353" s="3" t="s">
        <v>424</v>
      </c>
      <c r="K353" s="3" t="s">
        <v>424</v>
      </c>
      <c r="L353" s="3" t="s">
        <v>425</v>
      </c>
      <c r="M353" s="3" t="s">
        <v>23</v>
      </c>
      <c r="N353" s="16"/>
      <c r="O353" s="3"/>
      <c r="P353" s="3"/>
      <c r="Q353" s="3"/>
      <c r="R353" s="3"/>
      <c r="S353" s="3"/>
      <c r="T353" s="3"/>
      <c r="U353" s="3"/>
      <c r="V353" s="3"/>
    </row>
    <row r="354" spans="1:22" ht="31.5" x14ac:dyDescent="0.5">
      <c r="A354" s="3" t="s">
        <v>37</v>
      </c>
      <c r="B354" s="3" t="s">
        <v>400</v>
      </c>
      <c r="C354" s="3" t="s">
        <v>1133</v>
      </c>
      <c r="D354" s="3" t="s">
        <v>117</v>
      </c>
      <c r="E354" s="3" t="s">
        <v>18</v>
      </c>
      <c r="F354" s="3" t="s">
        <v>1134</v>
      </c>
      <c r="G354" s="3" t="s">
        <v>117</v>
      </c>
      <c r="H354" s="3" t="s">
        <v>20</v>
      </c>
      <c r="I354" s="3" t="s">
        <v>119</v>
      </c>
      <c r="J354" s="3" t="s">
        <v>1135</v>
      </c>
      <c r="K354" s="3" t="s">
        <v>1135</v>
      </c>
      <c r="L354" s="3" t="s">
        <v>1136</v>
      </c>
      <c r="M354" s="3"/>
      <c r="N354" s="16"/>
      <c r="O354" s="3"/>
      <c r="P354" s="3"/>
      <c r="Q354" s="3"/>
      <c r="R354" s="3"/>
      <c r="S354" s="3"/>
      <c r="T354" s="3"/>
      <c r="U354" s="3"/>
      <c r="V354" s="3"/>
    </row>
    <row r="355" spans="1:22" ht="31.5" x14ac:dyDescent="0.5">
      <c r="A355" s="3" t="s">
        <v>37</v>
      </c>
      <c r="B355" s="3" t="s">
        <v>400</v>
      </c>
      <c r="C355" s="3" t="s">
        <v>1633</v>
      </c>
      <c r="D355" s="3" t="s">
        <v>157</v>
      </c>
      <c r="E355" s="3" t="s">
        <v>18</v>
      </c>
      <c r="F355" s="3" t="s">
        <v>1634</v>
      </c>
      <c r="G355" s="3" t="s">
        <v>157</v>
      </c>
      <c r="H355" s="3" t="s">
        <v>20</v>
      </c>
      <c r="I355" s="3" t="s">
        <v>119</v>
      </c>
      <c r="J355" s="3" t="s">
        <v>1635</v>
      </c>
      <c r="K355" s="3" t="s">
        <v>1635</v>
      </c>
      <c r="L355" s="3" t="s">
        <v>1636</v>
      </c>
      <c r="M355" s="3"/>
      <c r="N355" s="16"/>
      <c r="O355" s="3"/>
      <c r="P355" s="3"/>
      <c r="Q355" s="3"/>
      <c r="R355" s="3"/>
      <c r="S355" s="3"/>
      <c r="T355" s="3"/>
      <c r="U355" s="3"/>
      <c r="V355" s="3"/>
    </row>
    <row r="356" spans="1:22" ht="31.5" x14ac:dyDescent="0.5">
      <c r="A356" s="3" t="s">
        <v>37</v>
      </c>
      <c r="B356" s="3" t="s">
        <v>143</v>
      </c>
      <c r="C356" s="3" t="s">
        <v>144</v>
      </c>
      <c r="D356" s="3" t="s">
        <v>33</v>
      </c>
      <c r="E356" s="3" t="s">
        <v>18</v>
      </c>
      <c r="F356" s="3" t="s">
        <v>147</v>
      </c>
      <c r="G356" s="3" t="s">
        <v>33</v>
      </c>
      <c r="H356" s="3" t="s">
        <v>20</v>
      </c>
      <c r="I356" s="3" t="s">
        <v>36</v>
      </c>
      <c r="J356" s="3" t="s">
        <v>145</v>
      </c>
      <c r="K356" s="3" t="s">
        <v>23</v>
      </c>
      <c r="L356" s="3" t="s">
        <v>146</v>
      </c>
      <c r="M356" s="3"/>
      <c r="N356" s="16"/>
      <c r="O356" s="3"/>
      <c r="P356" s="3"/>
      <c r="Q356" s="3"/>
      <c r="R356" s="3"/>
      <c r="S356" s="3"/>
      <c r="T356" s="3"/>
      <c r="U356" s="3"/>
      <c r="V356" s="3"/>
    </row>
    <row r="357" spans="1:22" ht="31.5" x14ac:dyDescent="0.5">
      <c r="A357" s="3" t="s">
        <v>37</v>
      </c>
      <c r="B357" s="3" t="s">
        <v>143</v>
      </c>
      <c r="C357" s="3" t="s">
        <v>2047</v>
      </c>
      <c r="D357" s="3" t="s">
        <v>134</v>
      </c>
      <c r="E357" s="3" t="s">
        <v>18</v>
      </c>
      <c r="F357" s="3" t="s">
        <v>2048</v>
      </c>
      <c r="G357" s="3" t="s">
        <v>134</v>
      </c>
      <c r="H357" s="3" t="s">
        <v>20</v>
      </c>
      <c r="I357" s="3" t="s">
        <v>136</v>
      </c>
      <c r="J357" s="3" t="s">
        <v>2049</v>
      </c>
      <c r="K357" s="3" t="s">
        <v>23</v>
      </c>
      <c r="L357" s="3" t="s">
        <v>2050</v>
      </c>
      <c r="M357" s="3"/>
      <c r="N357" s="16"/>
      <c r="O357" s="3"/>
      <c r="P357" s="3"/>
      <c r="Q357" s="3"/>
      <c r="R357" s="3"/>
      <c r="S357" s="3"/>
      <c r="T357" s="3"/>
      <c r="U357" s="3"/>
      <c r="V357" s="3"/>
    </row>
    <row r="358" spans="1:22" ht="31.5" x14ac:dyDescent="0.5">
      <c r="A358" s="3" t="s">
        <v>37</v>
      </c>
      <c r="B358" s="3" t="s">
        <v>95</v>
      </c>
      <c r="C358" s="3" t="s">
        <v>2012</v>
      </c>
      <c r="D358" s="3" t="s">
        <v>253</v>
      </c>
      <c r="E358" s="3" t="s">
        <v>18</v>
      </c>
      <c r="F358" s="3" t="s">
        <v>2013</v>
      </c>
      <c r="G358" s="3" t="s">
        <v>2014</v>
      </c>
      <c r="H358" s="3" t="s">
        <v>20</v>
      </c>
      <c r="I358" s="3" t="s">
        <v>2015</v>
      </c>
      <c r="J358" s="3" t="s">
        <v>2016</v>
      </c>
      <c r="K358" s="3" t="s">
        <v>2016</v>
      </c>
      <c r="L358" s="3" t="s">
        <v>2017</v>
      </c>
      <c r="M358" s="3"/>
      <c r="N358" s="16"/>
      <c r="O358" s="3"/>
      <c r="P358" s="3"/>
      <c r="Q358" s="3"/>
      <c r="R358" s="3"/>
      <c r="S358" s="3"/>
      <c r="T358" s="3"/>
      <c r="U358" s="3"/>
      <c r="V358" s="3"/>
    </row>
    <row r="359" spans="1:22" ht="31.5" x14ac:dyDescent="0.5">
      <c r="A359" s="3" t="s">
        <v>37</v>
      </c>
      <c r="B359" s="3" t="s">
        <v>95</v>
      </c>
      <c r="C359" s="3" t="s">
        <v>426</v>
      </c>
      <c r="D359" s="3" t="s">
        <v>253</v>
      </c>
      <c r="E359" s="3" t="s">
        <v>18</v>
      </c>
      <c r="F359" s="3" t="s">
        <v>427</v>
      </c>
      <c r="G359" s="3" t="s">
        <v>253</v>
      </c>
      <c r="H359" s="3" t="s">
        <v>20</v>
      </c>
      <c r="I359" s="3" t="s">
        <v>255</v>
      </c>
      <c r="J359" s="3" t="s">
        <v>428</v>
      </c>
      <c r="K359" s="3" t="s">
        <v>428</v>
      </c>
      <c r="L359" s="3" t="s">
        <v>429</v>
      </c>
      <c r="M359" s="3"/>
      <c r="N359" s="16"/>
      <c r="O359" s="3"/>
      <c r="P359" s="3"/>
      <c r="Q359" s="3"/>
      <c r="R359" s="3"/>
      <c r="S359" s="3"/>
      <c r="T359" s="3"/>
      <c r="U359" s="3"/>
      <c r="V359" s="3"/>
    </row>
    <row r="360" spans="1:22" ht="31.5" x14ac:dyDescent="0.5">
      <c r="A360" s="3" t="s">
        <v>37</v>
      </c>
      <c r="B360" s="3" t="s">
        <v>95</v>
      </c>
      <c r="C360" s="3" t="s">
        <v>2018</v>
      </c>
      <c r="D360" s="3" t="s">
        <v>1099</v>
      </c>
      <c r="E360" s="3" t="s">
        <v>18</v>
      </c>
      <c r="F360" s="3" t="s">
        <v>2019</v>
      </c>
      <c r="G360" s="3" t="s">
        <v>1099</v>
      </c>
      <c r="H360" s="3" t="s">
        <v>20</v>
      </c>
      <c r="I360" s="3" t="s">
        <v>1101</v>
      </c>
      <c r="J360" s="3" t="s">
        <v>2020</v>
      </c>
      <c r="K360" s="3" t="s">
        <v>2021</v>
      </c>
      <c r="L360" s="3" t="s">
        <v>2022</v>
      </c>
      <c r="M360" s="3"/>
      <c r="N360" s="16"/>
      <c r="O360" s="3"/>
      <c r="P360" s="3"/>
      <c r="Q360" s="3"/>
      <c r="R360" s="3"/>
      <c r="S360" s="3"/>
      <c r="T360" s="3"/>
      <c r="U360" s="3"/>
      <c r="V360" s="3"/>
    </row>
    <row r="361" spans="1:22" ht="31.5" x14ac:dyDescent="0.5">
      <c r="A361" s="3" t="s">
        <v>59</v>
      </c>
      <c r="B361" s="3" t="s">
        <v>407</v>
      </c>
      <c r="C361" s="3" t="s">
        <v>648</v>
      </c>
      <c r="D361" s="3" t="s">
        <v>90</v>
      </c>
      <c r="E361" s="3" t="s">
        <v>18</v>
      </c>
      <c r="F361" s="3" t="s">
        <v>649</v>
      </c>
      <c r="G361" s="3" t="s">
        <v>90</v>
      </c>
      <c r="H361" s="3" t="s">
        <v>20</v>
      </c>
      <c r="I361" s="3" t="s">
        <v>419</v>
      </c>
      <c r="J361" s="3" t="s">
        <v>650</v>
      </c>
      <c r="K361" s="3" t="s">
        <v>23</v>
      </c>
      <c r="L361" s="3" t="s">
        <v>651</v>
      </c>
      <c r="M361" s="3" t="s">
        <v>652</v>
      </c>
      <c r="N361" s="16"/>
      <c r="O361" s="3"/>
      <c r="P361" s="3"/>
      <c r="Q361" s="3"/>
      <c r="R361" s="3"/>
      <c r="S361" s="3"/>
      <c r="T361" s="3"/>
      <c r="U361" s="3"/>
      <c r="V361" s="3"/>
    </row>
    <row r="362" spans="1:22" ht="31.5" x14ac:dyDescent="0.5">
      <c r="A362" s="3" t="s">
        <v>59</v>
      </c>
      <c r="B362" s="3" t="s">
        <v>407</v>
      </c>
      <c r="C362" s="3" t="s">
        <v>1637</v>
      </c>
      <c r="D362" s="3" t="s">
        <v>553</v>
      </c>
      <c r="E362" s="3" t="s">
        <v>18</v>
      </c>
      <c r="F362" s="3" t="s">
        <v>712</v>
      </c>
      <c r="G362" s="3" t="s">
        <v>553</v>
      </c>
      <c r="H362" s="3" t="s">
        <v>20</v>
      </c>
      <c r="I362" s="3" t="s">
        <v>411</v>
      </c>
      <c r="J362" s="3" t="s">
        <v>1638</v>
      </c>
      <c r="K362" s="3" t="s">
        <v>23</v>
      </c>
      <c r="L362" s="3" t="s">
        <v>1639</v>
      </c>
      <c r="M362" s="3"/>
      <c r="N362" s="16"/>
      <c r="O362" s="3"/>
      <c r="P362" s="3"/>
      <c r="Q362" s="3"/>
      <c r="R362" s="3"/>
      <c r="S362" s="3"/>
      <c r="T362" s="3"/>
      <c r="U362" s="3"/>
      <c r="V362" s="3"/>
    </row>
    <row r="363" spans="1:22" ht="31.5" x14ac:dyDescent="0.5">
      <c r="A363" s="3" t="s">
        <v>59</v>
      </c>
      <c r="B363" s="3" t="s">
        <v>177</v>
      </c>
      <c r="C363" s="3" t="s">
        <v>707</v>
      </c>
      <c r="D363" s="3" t="s">
        <v>708</v>
      </c>
      <c r="E363" s="3" t="s">
        <v>18</v>
      </c>
      <c r="F363" s="3" t="s">
        <v>709</v>
      </c>
      <c r="G363" s="3" t="s">
        <v>708</v>
      </c>
      <c r="H363" s="3" t="s">
        <v>20</v>
      </c>
      <c r="I363" s="3" t="s">
        <v>710</v>
      </c>
      <c r="J363" s="3" t="s">
        <v>2174</v>
      </c>
      <c r="K363" s="3" t="s">
        <v>23</v>
      </c>
      <c r="L363" s="3" t="s">
        <v>2173</v>
      </c>
      <c r="M363" s="3" t="s">
        <v>2172</v>
      </c>
      <c r="N363" s="16"/>
      <c r="O363" s="3"/>
      <c r="P363" s="3"/>
      <c r="Q363" s="3"/>
      <c r="R363" s="3"/>
      <c r="S363" s="3"/>
      <c r="T363" s="3"/>
      <c r="U363" s="3"/>
      <c r="V363" s="3"/>
    </row>
    <row r="364" spans="1:22" ht="31.5" x14ac:dyDescent="0.5">
      <c r="A364" s="3" t="s">
        <v>59</v>
      </c>
      <c r="B364" s="3" t="s">
        <v>308</v>
      </c>
      <c r="C364" s="3" t="s">
        <v>1892</v>
      </c>
      <c r="D364" s="3" t="s">
        <v>310</v>
      </c>
      <c r="E364" s="3" t="s">
        <v>76</v>
      </c>
      <c r="F364" s="3" t="s">
        <v>1893</v>
      </c>
      <c r="G364" s="3" t="s">
        <v>310</v>
      </c>
      <c r="H364" s="3" t="s">
        <v>20</v>
      </c>
      <c r="I364" s="3" t="s">
        <v>312</v>
      </c>
      <c r="J364" s="3" t="s">
        <v>1894</v>
      </c>
      <c r="K364" s="3" t="s">
        <v>23</v>
      </c>
      <c r="L364" s="3" t="s">
        <v>1895</v>
      </c>
      <c r="M364" s="3"/>
      <c r="N364" s="16"/>
      <c r="O364" s="3"/>
      <c r="P364" s="3"/>
      <c r="Q364" s="3"/>
      <c r="R364" s="3"/>
      <c r="S364" s="3"/>
      <c r="T364" s="3"/>
      <c r="U364" s="3"/>
      <c r="V364" s="3"/>
    </row>
    <row r="365" spans="1:22" ht="31.5" x14ac:dyDescent="0.5">
      <c r="A365" s="3" t="s">
        <v>59</v>
      </c>
      <c r="B365" s="3" t="s">
        <v>38</v>
      </c>
      <c r="C365" s="3" t="s">
        <v>892</v>
      </c>
      <c r="D365" s="3" t="s">
        <v>527</v>
      </c>
      <c r="E365" s="3" t="s">
        <v>18</v>
      </c>
      <c r="F365" s="3" t="s">
        <v>893</v>
      </c>
      <c r="G365" s="3" t="s">
        <v>894</v>
      </c>
      <c r="H365" s="3" t="s">
        <v>20</v>
      </c>
      <c r="I365" s="3" t="s">
        <v>895</v>
      </c>
      <c r="J365" s="3" t="s">
        <v>896</v>
      </c>
      <c r="K365" s="3" t="s">
        <v>896</v>
      </c>
      <c r="L365" s="3" t="s">
        <v>897</v>
      </c>
      <c r="M365" s="3" t="s">
        <v>898</v>
      </c>
      <c r="N365" s="16"/>
      <c r="O365" s="3"/>
      <c r="P365" s="3"/>
      <c r="Q365" s="3"/>
      <c r="R365" s="3"/>
      <c r="S365" s="3"/>
      <c r="T365" s="3"/>
      <c r="U365" s="3"/>
      <c r="V365" s="3"/>
    </row>
    <row r="366" spans="1:22" ht="31.5" x14ac:dyDescent="0.5">
      <c r="A366" s="3" t="s">
        <v>59</v>
      </c>
      <c r="B366" s="3" t="s">
        <v>38</v>
      </c>
      <c r="C366" s="3" t="s">
        <v>1137</v>
      </c>
      <c r="D366" s="3" t="s">
        <v>527</v>
      </c>
      <c r="E366" s="3" t="s">
        <v>18</v>
      </c>
      <c r="F366" s="3" t="s">
        <v>1138</v>
      </c>
      <c r="G366" s="3" t="s">
        <v>527</v>
      </c>
      <c r="H366" s="3" t="s">
        <v>20</v>
      </c>
      <c r="I366" s="3" t="s">
        <v>640</v>
      </c>
      <c r="J366" s="3" t="s">
        <v>1139</v>
      </c>
      <c r="K366" s="3" t="s">
        <v>1139</v>
      </c>
      <c r="L366" s="3" t="s">
        <v>1140</v>
      </c>
      <c r="M366" s="3" t="s">
        <v>1141</v>
      </c>
      <c r="N366" s="16"/>
      <c r="O366" s="3"/>
      <c r="P366" s="3"/>
      <c r="Q366" s="3"/>
      <c r="R366" s="3"/>
      <c r="S366" s="3"/>
      <c r="T366" s="3"/>
      <c r="U366" s="3"/>
      <c r="V366" s="3"/>
    </row>
    <row r="367" spans="1:22" ht="31.5" x14ac:dyDescent="0.5">
      <c r="A367" s="3" t="s">
        <v>59</v>
      </c>
      <c r="B367" s="3" t="s">
        <v>272</v>
      </c>
      <c r="C367" s="3" t="s">
        <v>911</v>
      </c>
      <c r="D367" s="3" t="s">
        <v>110</v>
      </c>
      <c r="E367" s="3" t="s">
        <v>76</v>
      </c>
      <c r="F367" s="3" t="s">
        <v>912</v>
      </c>
      <c r="G367" s="3" t="s">
        <v>913</v>
      </c>
      <c r="H367" s="3" t="s">
        <v>20</v>
      </c>
      <c r="I367" s="3" t="s">
        <v>914</v>
      </c>
      <c r="J367" s="3" t="s">
        <v>915</v>
      </c>
      <c r="K367" s="3" t="s">
        <v>23</v>
      </c>
      <c r="L367" s="3" t="s">
        <v>916</v>
      </c>
      <c r="M367" s="3"/>
      <c r="N367" s="16"/>
      <c r="O367" s="3"/>
      <c r="P367" s="3"/>
      <c r="Q367" s="3"/>
      <c r="R367" s="3"/>
      <c r="S367" s="3"/>
      <c r="T367" s="3"/>
      <c r="U367" s="3"/>
      <c r="V367" s="3"/>
    </row>
    <row r="368" spans="1:22" ht="31.5" x14ac:dyDescent="0.5">
      <c r="A368" s="3" t="s">
        <v>59</v>
      </c>
      <c r="B368" s="3" t="s">
        <v>231</v>
      </c>
      <c r="C368" s="3" t="s">
        <v>1142</v>
      </c>
      <c r="D368" s="3" t="s">
        <v>443</v>
      </c>
      <c r="E368" s="3" t="s">
        <v>18</v>
      </c>
      <c r="F368" s="3" t="s">
        <v>1143</v>
      </c>
      <c r="G368" s="3" t="s">
        <v>443</v>
      </c>
      <c r="H368" s="3" t="s">
        <v>20</v>
      </c>
      <c r="I368" s="3" t="s">
        <v>236</v>
      </c>
      <c r="J368" s="3" t="s">
        <v>23</v>
      </c>
      <c r="K368" s="3" t="s">
        <v>23</v>
      </c>
      <c r="L368" s="3" t="s">
        <v>23</v>
      </c>
      <c r="M368" s="3" t="s">
        <v>23</v>
      </c>
      <c r="N368" s="16"/>
      <c r="O368" s="3"/>
      <c r="P368" s="3"/>
      <c r="Q368" s="3"/>
      <c r="R368" s="3"/>
      <c r="S368" s="3"/>
      <c r="T368" s="3"/>
      <c r="U368" s="3"/>
      <c r="V368" s="3"/>
    </row>
    <row r="369" spans="1:22" ht="31.5" x14ac:dyDescent="0.5">
      <c r="A369" s="3" t="s">
        <v>59</v>
      </c>
      <c r="B369" s="3" t="s">
        <v>231</v>
      </c>
      <c r="C369" s="3" t="s">
        <v>906</v>
      </c>
      <c r="D369" s="3" t="s">
        <v>654</v>
      </c>
      <c r="E369" s="3" t="s">
        <v>76</v>
      </c>
      <c r="F369" s="3" t="s">
        <v>907</v>
      </c>
      <c r="G369" s="3" t="s">
        <v>235</v>
      </c>
      <c r="H369" s="3" t="s">
        <v>20</v>
      </c>
      <c r="I369" s="3" t="s">
        <v>236</v>
      </c>
      <c r="J369" s="3" t="s">
        <v>908</v>
      </c>
      <c r="K369" s="3" t="s">
        <v>23</v>
      </c>
      <c r="L369" s="3" t="s">
        <v>909</v>
      </c>
      <c r="M369" s="3" t="s">
        <v>910</v>
      </c>
      <c r="N369" s="16"/>
      <c r="O369" s="3"/>
      <c r="P369" s="3"/>
      <c r="Q369" s="3"/>
      <c r="R369" s="3"/>
      <c r="S369" s="3"/>
      <c r="T369" s="3"/>
      <c r="U369" s="3"/>
      <c r="V369" s="3"/>
    </row>
    <row r="370" spans="1:22" ht="31.5" x14ac:dyDescent="0.5">
      <c r="A370" s="3" t="s">
        <v>59</v>
      </c>
      <c r="B370" s="3" t="s">
        <v>52</v>
      </c>
      <c r="C370" s="3" t="s">
        <v>60</v>
      </c>
      <c r="D370" s="3" t="s">
        <v>61</v>
      </c>
      <c r="E370" s="3" t="s">
        <v>18</v>
      </c>
      <c r="F370" s="3" t="s">
        <v>62</v>
      </c>
      <c r="G370" s="3" t="s">
        <v>61</v>
      </c>
      <c r="H370" s="3" t="s">
        <v>20</v>
      </c>
      <c r="I370" s="3" t="s">
        <v>63</v>
      </c>
      <c r="J370" s="3" t="s">
        <v>64</v>
      </c>
      <c r="K370" s="3" t="s">
        <v>23</v>
      </c>
      <c r="L370" s="3" t="s">
        <v>65</v>
      </c>
      <c r="M370" s="3" t="s">
        <v>23</v>
      </c>
      <c r="N370" s="16"/>
      <c r="O370" s="3"/>
      <c r="P370" s="3"/>
      <c r="Q370" s="3"/>
      <c r="R370" s="3"/>
      <c r="S370" s="3"/>
      <c r="T370" s="3"/>
      <c r="U370" s="3"/>
      <c r="V370" s="3"/>
    </row>
    <row r="371" spans="1:22" ht="31.5" x14ac:dyDescent="0.5">
      <c r="A371" s="3" t="s">
        <v>59</v>
      </c>
      <c r="B371" s="3" t="s">
        <v>301</v>
      </c>
      <c r="C371" s="3" t="s">
        <v>1640</v>
      </c>
      <c r="D371" s="3" t="s">
        <v>1641</v>
      </c>
      <c r="E371" s="3" t="s">
        <v>18</v>
      </c>
      <c r="F371" s="3" t="s">
        <v>1642</v>
      </c>
      <c r="G371" s="3" t="s">
        <v>626</v>
      </c>
      <c r="H371" s="3" t="s">
        <v>20</v>
      </c>
      <c r="I371" s="3" t="s">
        <v>628</v>
      </c>
      <c r="J371" s="3" t="s">
        <v>1643</v>
      </c>
      <c r="K371" s="3" t="s">
        <v>1643</v>
      </c>
      <c r="L371" s="3" t="s">
        <v>1644</v>
      </c>
      <c r="M371" s="3"/>
      <c r="N371" s="16"/>
      <c r="O371" s="3"/>
      <c r="P371" s="3"/>
      <c r="Q371" s="3"/>
      <c r="R371" s="3"/>
      <c r="S371" s="3"/>
      <c r="T371" s="3"/>
      <c r="U371" s="3"/>
      <c r="V371" s="3"/>
    </row>
    <row r="372" spans="1:22" ht="31.5" x14ac:dyDescent="0.5">
      <c r="A372" s="3" t="s">
        <v>59</v>
      </c>
      <c r="B372" s="3" t="s">
        <v>108</v>
      </c>
      <c r="C372" s="3" t="s">
        <v>589</v>
      </c>
      <c r="D372" s="3" t="s">
        <v>110</v>
      </c>
      <c r="E372" s="3" t="s">
        <v>76</v>
      </c>
      <c r="F372" s="3" t="s">
        <v>590</v>
      </c>
      <c r="G372" s="3" t="s">
        <v>591</v>
      </c>
      <c r="H372" s="3" t="s">
        <v>20</v>
      </c>
      <c r="I372" s="3" t="s">
        <v>592</v>
      </c>
      <c r="J372" s="3" t="s">
        <v>23</v>
      </c>
      <c r="K372" s="3" t="s">
        <v>23</v>
      </c>
      <c r="L372" s="3" t="s">
        <v>593</v>
      </c>
      <c r="M372" s="3"/>
      <c r="N372" s="16"/>
      <c r="O372" s="3"/>
      <c r="P372" s="3"/>
      <c r="Q372" s="3"/>
      <c r="R372" s="3"/>
      <c r="S372" s="3"/>
      <c r="T372" s="3"/>
      <c r="U372" s="3"/>
      <c r="V372" s="3"/>
    </row>
    <row r="373" spans="1:22" ht="31.5" x14ac:dyDescent="0.5">
      <c r="A373" s="3" t="s">
        <v>59</v>
      </c>
      <c r="B373" s="3" t="s">
        <v>223</v>
      </c>
      <c r="C373" s="3" t="s">
        <v>224</v>
      </c>
      <c r="D373" s="3" t="s">
        <v>225</v>
      </c>
      <c r="E373" s="3" t="s">
        <v>18</v>
      </c>
      <c r="F373" s="3" t="s">
        <v>226</v>
      </c>
      <c r="G373" s="3" t="s">
        <v>225</v>
      </c>
      <c r="H373" s="3" t="s">
        <v>20</v>
      </c>
      <c r="I373" s="3" t="s">
        <v>227</v>
      </c>
      <c r="J373" s="3" t="s">
        <v>228</v>
      </c>
      <c r="K373" s="3" t="s">
        <v>228</v>
      </c>
      <c r="L373" s="3" t="s">
        <v>229</v>
      </c>
      <c r="M373" s="3"/>
      <c r="N373" s="16"/>
      <c r="O373" s="3"/>
      <c r="P373" s="3"/>
      <c r="Q373" s="3"/>
      <c r="R373" s="3"/>
      <c r="S373" s="3"/>
      <c r="T373" s="3"/>
      <c r="U373" s="3"/>
      <c r="V373" s="3"/>
    </row>
    <row r="374" spans="1:22" ht="31.5" x14ac:dyDescent="0.5">
      <c r="A374" s="3" t="s">
        <v>59</v>
      </c>
      <c r="B374" s="3" t="s">
        <v>400</v>
      </c>
      <c r="C374" s="3" t="s">
        <v>1645</v>
      </c>
      <c r="D374" s="3" t="s">
        <v>157</v>
      </c>
      <c r="E374" s="3" t="s">
        <v>18</v>
      </c>
      <c r="F374" s="3" t="s">
        <v>1646</v>
      </c>
      <c r="G374" s="3" t="s">
        <v>1647</v>
      </c>
      <c r="H374" s="3" t="s">
        <v>20</v>
      </c>
      <c r="I374" s="3" t="s">
        <v>119</v>
      </c>
      <c r="J374" s="3" t="s">
        <v>1648</v>
      </c>
      <c r="K374" s="3" t="s">
        <v>1648</v>
      </c>
      <c r="L374" s="3" t="s">
        <v>1649</v>
      </c>
      <c r="M374" s="3"/>
      <c r="N374" s="16"/>
      <c r="O374" s="3"/>
      <c r="P374" s="3"/>
      <c r="Q374" s="3"/>
      <c r="R374" s="3"/>
      <c r="S374" s="3"/>
      <c r="T374" s="3"/>
      <c r="U374" s="3"/>
      <c r="V374" s="3"/>
    </row>
    <row r="375" spans="1:22" ht="31.5" x14ac:dyDescent="0.5">
      <c r="A375" s="3" t="s">
        <v>59</v>
      </c>
      <c r="B375" s="3" t="s">
        <v>400</v>
      </c>
      <c r="C375" s="3" t="s">
        <v>899</v>
      </c>
      <c r="D375" s="3" t="s">
        <v>900</v>
      </c>
      <c r="E375" s="3" t="s">
        <v>18</v>
      </c>
      <c r="F375" s="3" t="s">
        <v>901</v>
      </c>
      <c r="G375" s="3" t="s">
        <v>900</v>
      </c>
      <c r="H375" s="3" t="s">
        <v>20</v>
      </c>
      <c r="I375" s="3" t="s">
        <v>902</v>
      </c>
      <c r="J375" s="3" t="s">
        <v>903</v>
      </c>
      <c r="K375" s="3" t="s">
        <v>903</v>
      </c>
      <c r="L375" s="3" t="s">
        <v>904</v>
      </c>
      <c r="M375" s="3" t="s">
        <v>905</v>
      </c>
      <c r="N375" s="16"/>
      <c r="O375" s="3"/>
      <c r="P375" s="3"/>
      <c r="Q375" s="3"/>
      <c r="R375" s="3"/>
      <c r="S375" s="3"/>
      <c r="T375" s="3"/>
      <c r="U375" s="3"/>
      <c r="V375" s="3"/>
    </row>
    <row r="376" spans="1:22" ht="31.5" x14ac:dyDescent="0.5">
      <c r="A376" s="3" t="s">
        <v>59</v>
      </c>
      <c r="B376" s="3" t="s">
        <v>143</v>
      </c>
      <c r="C376" s="3" t="s">
        <v>469</v>
      </c>
      <c r="D376" s="3" t="s">
        <v>134</v>
      </c>
      <c r="E376" s="3" t="s">
        <v>18</v>
      </c>
      <c r="F376" s="3" t="s">
        <v>470</v>
      </c>
      <c r="G376" s="3" t="s">
        <v>134</v>
      </c>
      <c r="H376" s="3" t="s">
        <v>20</v>
      </c>
      <c r="I376" s="3" t="s">
        <v>30</v>
      </c>
      <c r="J376" s="3" t="s">
        <v>471</v>
      </c>
      <c r="K376" s="3" t="s">
        <v>23</v>
      </c>
      <c r="L376" s="3" t="s">
        <v>472</v>
      </c>
      <c r="M376" s="3"/>
      <c r="N376" s="16"/>
      <c r="O376" s="3"/>
      <c r="P376" s="3"/>
      <c r="Q376" s="3"/>
      <c r="R376" s="3"/>
      <c r="S376" s="3"/>
      <c r="T376" s="3"/>
      <c r="U376" s="3"/>
      <c r="V376" s="3"/>
    </row>
    <row r="377" spans="1:22" ht="31.5" x14ac:dyDescent="0.5">
      <c r="A377" s="3" t="s">
        <v>59</v>
      </c>
      <c r="B377" s="3" t="s">
        <v>95</v>
      </c>
      <c r="C377" s="3" t="s">
        <v>2023</v>
      </c>
      <c r="D377" s="3" t="s">
        <v>253</v>
      </c>
      <c r="E377" s="3" t="s">
        <v>18</v>
      </c>
      <c r="F377" s="3" t="s">
        <v>2024</v>
      </c>
      <c r="G377" s="3" t="s">
        <v>253</v>
      </c>
      <c r="H377" s="3" t="s">
        <v>20</v>
      </c>
      <c r="I377" s="3" t="s">
        <v>255</v>
      </c>
      <c r="J377" s="3" t="s">
        <v>2025</v>
      </c>
      <c r="K377" s="3" t="s">
        <v>2025</v>
      </c>
      <c r="L377" s="3" t="s">
        <v>2026</v>
      </c>
      <c r="M377" s="3" t="s">
        <v>2027</v>
      </c>
      <c r="N377" s="16"/>
      <c r="O377" s="3"/>
      <c r="P377" s="3"/>
      <c r="Q377" s="3"/>
      <c r="R377" s="3"/>
      <c r="S377" s="3"/>
      <c r="T377" s="3"/>
      <c r="U377" s="3"/>
      <c r="V377" s="3"/>
    </row>
    <row r="378" spans="1:22" ht="31.5" x14ac:dyDescent="0.5">
      <c r="A378" s="3" t="s">
        <v>66</v>
      </c>
      <c r="B378" s="3" t="s">
        <v>407</v>
      </c>
      <c r="C378" s="3" t="s">
        <v>1836</v>
      </c>
      <c r="D378" s="3" t="s">
        <v>407</v>
      </c>
      <c r="E378" s="3" t="s">
        <v>76</v>
      </c>
      <c r="F378" s="3" t="s">
        <v>1837</v>
      </c>
      <c r="G378" s="3" t="s">
        <v>536</v>
      </c>
      <c r="H378" s="3" t="s">
        <v>20</v>
      </c>
      <c r="I378" s="3" t="s">
        <v>538</v>
      </c>
      <c r="J378" s="3" t="s">
        <v>1838</v>
      </c>
      <c r="K378" s="3" t="s">
        <v>23</v>
      </c>
      <c r="L378" s="3" t="s">
        <v>1839</v>
      </c>
      <c r="M378" s="3"/>
      <c r="N378" s="16"/>
      <c r="O378" s="3"/>
      <c r="P378" s="3"/>
      <c r="Q378" s="3"/>
      <c r="R378" s="3"/>
      <c r="S378" s="3"/>
      <c r="T378" s="3"/>
      <c r="U378" s="3"/>
      <c r="V378" s="3"/>
    </row>
    <row r="379" spans="1:22" ht="31.5" x14ac:dyDescent="0.5">
      <c r="A379" s="3" t="s">
        <v>66</v>
      </c>
      <c r="B379" s="3" t="s">
        <v>407</v>
      </c>
      <c r="C379" s="3" t="s">
        <v>1840</v>
      </c>
      <c r="D379" s="3" t="s">
        <v>553</v>
      </c>
      <c r="E379" s="3" t="s">
        <v>76</v>
      </c>
      <c r="F379" s="3" t="s">
        <v>1841</v>
      </c>
      <c r="G379" s="3" t="s">
        <v>553</v>
      </c>
      <c r="H379" s="3" t="s">
        <v>20</v>
      </c>
      <c r="I379" s="3" t="s">
        <v>411</v>
      </c>
      <c r="J379" s="3" t="s">
        <v>1842</v>
      </c>
      <c r="K379" s="3" t="s">
        <v>23</v>
      </c>
      <c r="L379" s="3" t="s">
        <v>1843</v>
      </c>
      <c r="M379" s="3"/>
      <c r="N379" s="16"/>
      <c r="O379" s="3"/>
      <c r="P379" s="3"/>
      <c r="Q379" s="3"/>
      <c r="R379" s="3"/>
      <c r="S379" s="3"/>
      <c r="T379" s="3"/>
      <c r="U379" s="3"/>
      <c r="V379" s="3"/>
    </row>
    <row r="380" spans="1:22" ht="31.5" x14ac:dyDescent="0.5">
      <c r="A380" s="3" t="s">
        <v>66</v>
      </c>
      <c r="B380" s="3" t="s">
        <v>177</v>
      </c>
      <c r="C380" s="3" t="s">
        <v>1650</v>
      </c>
      <c r="D380" s="3" t="s">
        <v>239</v>
      </c>
      <c r="E380" s="3" t="s">
        <v>18</v>
      </c>
      <c r="F380" s="3" t="s">
        <v>1651</v>
      </c>
      <c r="G380" s="3" t="s">
        <v>1652</v>
      </c>
      <c r="H380" s="3" t="s">
        <v>20</v>
      </c>
      <c r="I380" s="3" t="s">
        <v>414</v>
      </c>
      <c r="J380" s="3" t="s">
        <v>23</v>
      </c>
      <c r="K380" s="3" t="s">
        <v>23</v>
      </c>
      <c r="L380" s="3" t="s">
        <v>23</v>
      </c>
      <c r="M380" s="3"/>
      <c r="N380" s="16"/>
      <c r="O380" s="3"/>
      <c r="P380" s="3"/>
      <c r="Q380" s="3"/>
      <c r="R380" s="3"/>
      <c r="S380" s="3"/>
      <c r="T380" s="3"/>
      <c r="U380" s="3"/>
      <c r="V380" s="3"/>
    </row>
    <row r="381" spans="1:22" ht="31.5" x14ac:dyDescent="0.5">
      <c r="A381" s="3" t="s">
        <v>66</v>
      </c>
      <c r="B381" s="3" t="s">
        <v>177</v>
      </c>
      <c r="C381" s="3" t="s">
        <v>2205</v>
      </c>
      <c r="D381" s="3" t="s">
        <v>177</v>
      </c>
      <c r="E381" s="3" t="s">
        <v>18</v>
      </c>
      <c r="F381" s="3" t="s">
        <v>1144</v>
      </c>
      <c r="G381" s="3" t="s">
        <v>177</v>
      </c>
      <c r="H381" s="3" t="s">
        <v>20</v>
      </c>
      <c r="I381" s="3" t="s">
        <v>179</v>
      </c>
      <c r="J381" s="3" t="s">
        <v>23</v>
      </c>
      <c r="K381" s="3" t="s">
        <v>23</v>
      </c>
      <c r="L381" s="3" t="s">
        <v>23</v>
      </c>
      <c r="M381" s="3" t="s">
        <v>23</v>
      </c>
      <c r="N381" s="16"/>
      <c r="O381" s="3"/>
      <c r="P381" s="3"/>
      <c r="Q381" s="3"/>
      <c r="R381" s="3"/>
      <c r="S381" s="3"/>
      <c r="T381" s="3"/>
      <c r="U381" s="3"/>
      <c r="V381" s="3"/>
    </row>
    <row r="382" spans="1:22" ht="31.5" x14ac:dyDescent="0.5">
      <c r="A382" s="3" t="s">
        <v>66</v>
      </c>
      <c r="B382" s="3" t="s">
        <v>177</v>
      </c>
      <c r="C382" s="3" t="s">
        <v>430</v>
      </c>
      <c r="D382" s="3" t="s">
        <v>431</v>
      </c>
      <c r="E382" s="3" t="s">
        <v>18</v>
      </c>
      <c r="F382" s="3" t="s">
        <v>432</v>
      </c>
      <c r="G382" s="3" t="s">
        <v>431</v>
      </c>
      <c r="H382" s="3" t="s">
        <v>20</v>
      </c>
      <c r="I382" s="3" t="s">
        <v>433</v>
      </c>
      <c r="J382" s="3" t="s">
        <v>434</v>
      </c>
      <c r="K382" s="3" t="s">
        <v>23</v>
      </c>
      <c r="L382" s="3" t="s">
        <v>435</v>
      </c>
      <c r="M382" s="3" t="s">
        <v>23</v>
      </c>
      <c r="N382" s="16"/>
      <c r="O382" s="3"/>
      <c r="P382" s="3"/>
      <c r="Q382" s="3"/>
      <c r="R382" s="3"/>
      <c r="S382" s="3"/>
      <c r="T382" s="3"/>
      <c r="U382" s="3"/>
      <c r="V382" s="3"/>
    </row>
    <row r="383" spans="1:22" ht="31.5" x14ac:dyDescent="0.5">
      <c r="A383" s="3" t="s">
        <v>66</v>
      </c>
      <c r="B383" s="3" t="s">
        <v>308</v>
      </c>
      <c r="C383" s="3" t="s">
        <v>1899</v>
      </c>
      <c r="D383" s="3" t="s">
        <v>124</v>
      </c>
      <c r="E383" s="3" t="s">
        <v>76</v>
      </c>
      <c r="F383" s="3" t="s">
        <v>1896</v>
      </c>
      <c r="G383" s="3" t="s">
        <v>124</v>
      </c>
      <c r="H383" s="3" t="s">
        <v>20</v>
      </c>
      <c r="I383" s="3" t="s">
        <v>127</v>
      </c>
      <c r="J383" s="3" t="s">
        <v>1897</v>
      </c>
      <c r="K383" s="3" t="s">
        <v>23</v>
      </c>
      <c r="L383" s="3" t="s">
        <v>1898</v>
      </c>
      <c r="M383" s="3"/>
      <c r="N383" s="16"/>
      <c r="O383" s="3"/>
      <c r="P383" s="3"/>
      <c r="Q383" s="3"/>
      <c r="R383" s="3"/>
      <c r="S383" s="3"/>
      <c r="T383" s="3"/>
      <c r="U383" s="3"/>
      <c r="V383" s="3"/>
    </row>
    <row r="384" spans="1:22" ht="31.5" x14ac:dyDescent="0.5">
      <c r="A384" s="3" t="s">
        <v>66</v>
      </c>
      <c r="B384" s="3" t="s">
        <v>308</v>
      </c>
      <c r="C384" s="3" t="s">
        <v>309</v>
      </c>
      <c r="D384" s="3" t="s">
        <v>310</v>
      </c>
      <c r="E384" s="3" t="s">
        <v>76</v>
      </c>
      <c r="F384" s="3" t="s">
        <v>311</v>
      </c>
      <c r="G384" s="3" t="s">
        <v>310</v>
      </c>
      <c r="H384" s="3" t="s">
        <v>20</v>
      </c>
      <c r="I384" s="3" t="s">
        <v>312</v>
      </c>
      <c r="J384" s="3" t="s">
        <v>313</v>
      </c>
      <c r="K384" s="3" t="s">
        <v>23</v>
      </c>
      <c r="L384" s="3" t="s">
        <v>314</v>
      </c>
      <c r="M384" s="3" t="s">
        <v>2202</v>
      </c>
      <c r="N384" s="16"/>
      <c r="O384" s="3"/>
      <c r="P384" s="3"/>
      <c r="Q384" s="3"/>
      <c r="R384" s="3"/>
      <c r="S384" s="3"/>
      <c r="T384" s="3"/>
      <c r="U384" s="3"/>
      <c r="V384" s="3"/>
    </row>
    <row r="385" spans="1:22" ht="31.5" x14ac:dyDescent="0.5">
      <c r="A385" s="3" t="s">
        <v>66</v>
      </c>
      <c r="B385" s="3" t="s">
        <v>38</v>
      </c>
      <c r="C385" s="3" t="s">
        <v>1145</v>
      </c>
      <c r="D385" s="3" t="s">
        <v>667</v>
      </c>
      <c r="E385" s="3" t="s">
        <v>18</v>
      </c>
      <c r="F385" s="3" t="s">
        <v>1146</v>
      </c>
      <c r="G385" s="3" t="s">
        <v>46</v>
      </c>
      <c r="H385" s="3" t="s">
        <v>20</v>
      </c>
      <c r="I385" s="3" t="s">
        <v>1147</v>
      </c>
      <c r="J385" s="3" t="s">
        <v>1148</v>
      </c>
      <c r="K385" s="3" t="s">
        <v>1148</v>
      </c>
      <c r="L385" s="3" t="s">
        <v>1149</v>
      </c>
      <c r="M385" s="3" t="s">
        <v>1150</v>
      </c>
      <c r="N385" s="16"/>
      <c r="O385" s="3"/>
      <c r="P385" s="3"/>
      <c r="Q385" s="3"/>
      <c r="R385" s="3"/>
      <c r="S385" s="3"/>
      <c r="T385" s="3"/>
      <c r="U385" s="3"/>
      <c r="V385" s="3"/>
    </row>
    <row r="386" spans="1:22" ht="31.5" x14ac:dyDescent="0.5">
      <c r="A386" s="3" t="s">
        <v>66</v>
      </c>
      <c r="B386" s="3" t="s">
        <v>272</v>
      </c>
      <c r="C386" s="3" t="s">
        <v>1975</v>
      </c>
      <c r="D386" s="3" t="s">
        <v>1974</v>
      </c>
      <c r="E386" s="3" t="s">
        <v>76</v>
      </c>
      <c r="F386" s="3" t="s">
        <v>1976</v>
      </c>
      <c r="G386" s="3" t="s">
        <v>1974</v>
      </c>
      <c r="H386" s="3" t="s">
        <v>20</v>
      </c>
      <c r="I386" s="3">
        <v>5906</v>
      </c>
      <c r="J386" s="3" t="s">
        <v>1977</v>
      </c>
      <c r="K386" s="3"/>
      <c r="L386" s="3" t="s">
        <v>1978</v>
      </c>
      <c r="M386" s="3"/>
      <c r="N386" s="16"/>
      <c r="O386" s="3"/>
      <c r="P386" s="3"/>
      <c r="Q386" s="3"/>
      <c r="R386" s="3"/>
      <c r="S386" s="3"/>
      <c r="T386" s="3"/>
      <c r="U386" s="3"/>
      <c r="V386" s="3"/>
    </row>
    <row r="387" spans="1:22" ht="31.5" x14ac:dyDescent="0.5">
      <c r="A387" s="3" t="s">
        <v>66</v>
      </c>
      <c r="B387" s="3" t="s">
        <v>231</v>
      </c>
      <c r="C387" s="3" t="s">
        <v>1844</v>
      </c>
      <c r="D387" s="3" t="s">
        <v>1845</v>
      </c>
      <c r="E387" s="3" t="s">
        <v>76</v>
      </c>
      <c r="F387" s="3" t="s">
        <v>1846</v>
      </c>
      <c r="G387" s="3" t="s">
        <v>1845</v>
      </c>
      <c r="H387" s="3" t="s">
        <v>20</v>
      </c>
      <c r="I387" s="3" t="s">
        <v>1847</v>
      </c>
      <c r="J387" s="3" t="s">
        <v>1848</v>
      </c>
      <c r="K387" s="3" t="s">
        <v>23</v>
      </c>
      <c r="L387" s="3" t="s">
        <v>1849</v>
      </c>
      <c r="M387" s="3"/>
      <c r="N387" s="16"/>
      <c r="O387" s="3"/>
      <c r="P387" s="3"/>
      <c r="Q387" s="3"/>
      <c r="R387" s="3"/>
      <c r="S387" s="3"/>
      <c r="T387" s="3"/>
      <c r="U387" s="3"/>
      <c r="V387" s="3"/>
    </row>
    <row r="388" spans="1:22" ht="31.5" x14ac:dyDescent="0.5">
      <c r="A388" s="3" t="s">
        <v>66</v>
      </c>
      <c r="B388" s="3" t="s">
        <v>52</v>
      </c>
      <c r="C388" s="3" t="s">
        <v>67</v>
      </c>
      <c r="D388" s="3" t="s">
        <v>68</v>
      </c>
      <c r="E388" s="3" t="s">
        <v>18</v>
      </c>
      <c r="F388" s="3" t="s">
        <v>69</v>
      </c>
      <c r="G388" s="3" t="s">
        <v>52</v>
      </c>
      <c r="H388" s="3" t="s">
        <v>20</v>
      </c>
      <c r="I388" s="3" t="s">
        <v>70</v>
      </c>
      <c r="J388" s="3" t="s">
        <v>71</v>
      </c>
      <c r="K388" s="3" t="s">
        <v>23</v>
      </c>
      <c r="L388" s="3" t="s">
        <v>72</v>
      </c>
      <c r="M388" s="3" t="s">
        <v>23</v>
      </c>
      <c r="N388" s="16"/>
      <c r="O388" s="3"/>
      <c r="P388" s="3"/>
      <c r="Q388" s="3"/>
      <c r="R388" s="3"/>
      <c r="S388" s="3"/>
      <c r="T388" s="3"/>
      <c r="U388" s="3"/>
      <c r="V388" s="3"/>
    </row>
    <row r="389" spans="1:22" ht="31.5" x14ac:dyDescent="0.5">
      <c r="A389" s="3" t="s">
        <v>66</v>
      </c>
      <c r="B389" s="3" t="s">
        <v>301</v>
      </c>
      <c r="C389" s="3" t="s">
        <v>436</v>
      </c>
      <c r="D389" s="3" t="s">
        <v>303</v>
      </c>
      <c r="E389" s="3" t="s">
        <v>76</v>
      </c>
      <c r="F389" s="3" t="s">
        <v>437</v>
      </c>
      <c r="G389" s="3" t="s">
        <v>438</v>
      </c>
      <c r="H389" s="3" t="s">
        <v>20</v>
      </c>
      <c r="I389" s="3" t="s">
        <v>439</v>
      </c>
      <c r="J389" s="3" t="s">
        <v>440</v>
      </c>
      <c r="K389" s="3" t="s">
        <v>440</v>
      </c>
      <c r="L389" s="3" t="s">
        <v>441</v>
      </c>
      <c r="M389" s="3" t="s">
        <v>23</v>
      </c>
      <c r="N389" s="16"/>
      <c r="O389" s="3"/>
      <c r="P389" s="3"/>
      <c r="Q389" s="3"/>
      <c r="R389" s="3"/>
      <c r="S389" s="3"/>
      <c r="T389" s="3"/>
      <c r="U389" s="3"/>
      <c r="V389" s="3"/>
    </row>
    <row r="390" spans="1:22" ht="31.5" x14ac:dyDescent="0.5">
      <c r="A390" s="3" t="s">
        <v>66</v>
      </c>
      <c r="B390" s="3" t="s">
        <v>216</v>
      </c>
      <c r="C390" s="3" t="s">
        <v>1653</v>
      </c>
      <c r="D390" s="3" t="s">
        <v>216</v>
      </c>
      <c r="E390" s="3" t="s">
        <v>18</v>
      </c>
      <c r="F390" s="3" t="s">
        <v>1654</v>
      </c>
      <c r="G390" s="3" t="s">
        <v>400</v>
      </c>
      <c r="H390" s="3" t="s">
        <v>20</v>
      </c>
      <c r="I390" s="3" t="s">
        <v>560</v>
      </c>
      <c r="J390" s="3" t="s">
        <v>1655</v>
      </c>
      <c r="K390" s="3" t="s">
        <v>1655</v>
      </c>
      <c r="L390" s="3" t="s">
        <v>1656</v>
      </c>
      <c r="M390" s="3"/>
      <c r="N390" s="16"/>
      <c r="O390" s="3"/>
      <c r="P390" s="3"/>
      <c r="Q390" s="3"/>
      <c r="R390" s="3"/>
      <c r="S390" s="3"/>
      <c r="T390" s="3"/>
      <c r="U390" s="3"/>
      <c r="V390" s="3"/>
    </row>
    <row r="391" spans="1:22" ht="30" customHeight="1" x14ac:dyDescent="0.5">
      <c r="A391" s="3" t="s">
        <v>66</v>
      </c>
      <c r="B391" s="3" t="s">
        <v>216</v>
      </c>
      <c r="C391" s="3" t="s">
        <v>245</v>
      </c>
      <c r="D391" s="3" t="s">
        <v>246</v>
      </c>
      <c r="E391" s="3" t="s">
        <v>76</v>
      </c>
      <c r="F391" s="3" t="s">
        <v>247</v>
      </c>
      <c r="G391" s="3" t="s">
        <v>246</v>
      </c>
      <c r="H391" s="3" t="s">
        <v>20</v>
      </c>
      <c r="I391" s="3" t="s">
        <v>248</v>
      </c>
      <c r="J391" s="3" t="s">
        <v>249</v>
      </c>
      <c r="K391" s="3" t="s">
        <v>23</v>
      </c>
      <c r="L391" s="3" t="s">
        <v>250</v>
      </c>
      <c r="M391" s="3" t="s">
        <v>23</v>
      </c>
      <c r="N391" s="16"/>
      <c r="O391" s="3"/>
      <c r="P391" s="3"/>
      <c r="Q391" s="3"/>
      <c r="R391" s="3"/>
      <c r="S391" s="3"/>
      <c r="T391" s="3"/>
      <c r="U391" s="3"/>
      <c r="V391" s="3"/>
    </row>
    <row r="392" spans="1:22" ht="31.5" x14ac:dyDescent="0.5">
      <c r="A392" s="3" t="s">
        <v>66</v>
      </c>
      <c r="B392" s="3" t="s">
        <v>108</v>
      </c>
      <c r="C392" s="3" t="s">
        <v>582</v>
      </c>
      <c r="D392" s="3" t="s">
        <v>583</v>
      </c>
      <c r="E392" s="3" t="s">
        <v>76</v>
      </c>
      <c r="F392" s="3" t="s">
        <v>584</v>
      </c>
      <c r="G392" s="3" t="s">
        <v>585</v>
      </c>
      <c r="H392" s="3" t="s">
        <v>20</v>
      </c>
      <c r="I392" s="3" t="s">
        <v>586</v>
      </c>
      <c r="J392" s="3" t="s">
        <v>587</v>
      </c>
      <c r="K392" s="3" t="s">
        <v>23</v>
      </c>
      <c r="L392" s="3" t="s">
        <v>588</v>
      </c>
      <c r="M392" s="3"/>
      <c r="N392" s="16"/>
      <c r="O392" s="3"/>
      <c r="P392" s="3"/>
      <c r="Q392" s="3"/>
      <c r="R392" s="3"/>
      <c r="S392" s="3"/>
      <c r="T392" s="3"/>
      <c r="U392" s="3"/>
      <c r="V392" s="3"/>
    </row>
    <row r="393" spans="1:22" ht="31.5" x14ac:dyDescent="0.5">
      <c r="A393" s="3" t="s">
        <v>66</v>
      </c>
      <c r="B393" s="3" t="s">
        <v>223</v>
      </c>
      <c r="C393" s="3" t="s">
        <v>594</v>
      </c>
      <c r="D393" s="3" t="s">
        <v>595</v>
      </c>
      <c r="E393" s="3" t="s">
        <v>76</v>
      </c>
      <c r="F393" s="3" t="s">
        <v>596</v>
      </c>
      <c r="G393" s="3" t="s">
        <v>597</v>
      </c>
      <c r="H393" s="3" t="s">
        <v>20</v>
      </c>
      <c r="I393" s="3" t="s">
        <v>598</v>
      </c>
      <c r="J393" s="3" t="s">
        <v>599</v>
      </c>
      <c r="K393" s="3" t="s">
        <v>600</v>
      </c>
      <c r="L393" s="3" t="s">
        <v>601</v>
      </c>
      <c r="M393" s="3"/>
      <c r="N393" s="16"/>
      <c r="O393" s="3"/>
      <c r="P393" s="3"/>
      <c r="Q393" s="3"/>
      <c r="R393" s="3"/>
      <c r="S393" s="3"/>
      <c r="T393" s="3"/>
      <c r="U393" s="3"/>
      <c r="V393" s="3"/>
    </row>
    <row r="394" spans="1:22" ht="31.5" x14ac:dyDescent="0.5">
      <c r="A394" s="3" t="s">
        <v>66</v>
      </c>
      <c r="B394" s="3" t="s">
        <v>400</v>
      </c>
      <c r="C394" s="3" t="s">
        <v>488</v>
      </c>
      <c r="D394" s="3" t="s">
        <v>117</v>
      </c>
      <c r="E394" s="3" t="s">
        <v>18</v>
      </c>
      <c r="F394" s="3" t="s">
        <v>489</v>
      </c>
      <c r="G394" s="3" t="s">
        <v>117</v>
      </c>
      <c r="H394" s="3" t="s">
        <v>20</v>
      </c>
      <c r="I394" s="3" t="s">
        <v>119</v>
      </c>
      <c r="J394" s="3" t="s">
        <v>490</v>
      </c>
      <c r="K394" s="3" t="s">
        <v>490</v>
      </c>
      <c r="L394" s="3" t="s">
        <v>491</v>
      </c>
      <c r="M394" s="3"/>
      <c r="N394" s="16"/>
      <c r="O394" s="3"/>
      <c r="P394" s="3"/>
      <c r="Q394" s="3"/>
      <c r="R394" s="3"/>
      <c r="S394" s="3"/>
      <c r="T394" s="3"/>
      <c r="U394" s="3"/>
      <c r="V394" s="3"/>
    </row>
    <row r="395" spans="1:22" ht="31.5" x14ac:dyDescent="0.5">
      <c r="A395" s="3" t="s">
        <v>66</v>
      </c>
      <c r="B395" s="3" t="s">
        <v>143</v>
      </c>
      <c r="C395" s="3" t="s">
        <v>188</v>
      </c>
      <c r="D395" s="3" t="s">
        <v>134</v>
      </c>
      <c r="E395" s="3" t="s">
        <v>18</v>
      </c>
      <c r="F395" s="3" t="s">
        <v>189</v>
      </c>
      <c r="G395" s="3" t="s">
        <v>134</v>
      </c>
      <c r="H395" s="3" t="s">
        <v>20</v>
      </c>
      <c r="I395" s="3" t="s">
        <v>136</v>
      </c>
      <c r="J395" s="3" t="s">
        <v>23</v>
      </c>
      <c r="K395" s="3" t="s">
        <v>23</v>
      </c>
      <c r="L395" s="3" t="s">
        <v>190</v>
      </c>
      <c r="M395" s="3" t="s">
        <v>191</v>
      </c>
      <c r="N395" s="16"/>
      <c r="O395" s="3"/>
      <c r="P395" s="3"/>
      <c r="Q395" s="3"/>
      <c r="R395" s="3"/>
      <c r="S395" s="3"/>
      <c r="T395" s="3"/>
      <c r="U395" s="3"/>
      <c r="V395" s="3"/>
    </row>
    <row r="396" spans="1:22" ht="31.5" x14ac:dyDescent="0.5">
      <c r="A396" s="3" t="s">
        <v>66</v>
      </c>
      <c r="B396" s="3" t="s">
        <v>95</v>
      </c>
      <c r="C396" s="3" t="s">
        <v>2028</v>
      </c>
      <c r="D396" s="3" t="s">
        <v>253</v>
      </c>
      <c r="E396" s="3" t="s">
        <v>76</v>
      </c>
      <c r="F396" s="3" t="s">
        <v>2029</v>
      </c>
      <c r="G396" s="3" t="s">
        <v>253</v>
      </c>
      <c r="H396" s="3" t="s">
        <v>20</v>
      </c>
      <c r="I396" s="3" t="s">
        <v>255</v>
      </c>
      <c r="J396" s="3" t="s">
        <v>2030</v>
      </c>
      <c r="K396" s="3" t="s">
        <v>2030</v>
      </c>
      <c r="L396" s="3" t="s">
        <v>2098</v>
      </c>
      <c r="M396" s="3"/>
      <c r="N396" s="16"/>
      <c r="O396" s="3"/>
      <c r="P396" s="3"/>
      <c r="Q396" s="3"/>
      <c r="R396" s="3"/>
      <c r="S396" s="3"/>
      <c r="T396" s="3"/>
      <c r="U396" s="3"/>
      <c r="V396" s="3"/>
    </row>
    <row r="397" spans="1:22" ht="31.5" x14ac:dyDescent="0.5">
      <c r="A397" s="3" t="s">
        <v>66</v>
      </c>
      <c r="B397" s="3" t="s">
        <v>95</v>
      </c>
      <c r="C397" s="3" t="s">
        <v>162</v>
      </c>
      <c r="D397" s="3" t="s">
        <v>163</v>
      </c>
      <c r="E397" s="3" t="s">
        <v>18</v>
      </c>
      <c r="F397" s="3" t="s">
        <v>164</v>
      </c>
      <c r="G397" s="3" t="s">
        <v>163</v>
      </c>
      <c r="H397" s="3" t="s">
        <v>20</v>
      </c>
      <c r="I397" s="3" t="s">
        <v>165</v>
      </c>
      <c r="J397" s="3" t="s">
        <v>23</v>
      </c>
      <c r="K397" s="3" t="s">
        <v>166</v>
      </c>
      <c r="L397" s="3" t="s">
        <v>167</v>
      </c>
      <c r="M397" s="3" t="s">
        <v>168</v>
      </c>
      <c r="N397" s="16"/>
      <c r="O397" s="3"/>
      <c r="P397" s="3"/>
      <c r="Q397" s="3"/>
      <c r="R397" s="3"/>
      <c r="S397" s="3"/>
      <c r="T397" s="3"/>
      <c r="U397" s="3"/>
      <c r="V397" s="3"/>
    </row>
    <row r="398" spans="1:22" ht="31.5" x14ac:dyDescent="0.5">
      <c r="A398" s="3" t="s">
        <v>66</v>
      </c>
      <c r="B398" s="3" t="s">
        <v>95</v>
      </c>
      <c r="C398" s="3" t="s">
        <v>96</v>
      </c>
      <c r="D398" s="3" t="s">
        <v>95</v>
      </c>
      <c r="E398" s="3" t="s">
        <v>18</v>
      </c>
      <c r="F398" s="3" t="s">
        <v>97</v>
      </c>
      <c r="G398" s="3" t="s">
        <v>95</v>
      </c>
      <c r="H398" s="3" t="s">
        <v>20</v>
      </c>
      <c r="I398" s="3" t="s">
        <v>98</v>
      </c>
      <c r="J398" s="3" t="s">
        <v>99</v>
      </c>
      <c r="K398" s="3" t="s">
        <v>23</v>
      </c>
      <c r="L398" s="3" t="s">
        <v>100</v>
      </c>
      <c r="M398" s="3" t="s">
        <v>101</v>
      </c>
      <c r="N398" s="16"/>
      <c r="O398" s="3"/>
      <c r="P398" s="3"/>
      <c r="Q398" s="3"/>
      <c r="R398" s="3"/>
      <c r="S398" s="3"/>
      <c r="T398" s="3"/>
      <c r="U398" s="3"/>
      <c r="V398" s="3"/>
    </row>
    <row r="399" spans="1:22" ht="31.5" x14ac:dyDescent="0.5">
      <c r="A399" s="3" t="s">
        <v>230</v>
      </c>
      <c r="B399" s="3" t="s">
        <v>407</v>
      </c>
      <c r="C399" s="3" t="s">
        <v>711</v>
      </c>
      <c r="D399" s="3" t="s">
        <v>553</v>
      </c>
      <c r="E399" s="3" t="s">
        <v>18</v>
      </c>
      <c r="F399" s="3" t="s">
        <v>712</v>
      </c>
      <c r="G399" s="3" t="s">
        <v>553</v>
      </c>
      <c r="H399" s="3" t="s">
        <v>20</v>
      </c>
      <c r="I399" s="3" t="s">
        <v>411</v>
      </c>
      <c r="J399" s="3" t="s">
        <v>713</v>
      </c>
      <c r="K399" s="3" t="s">
        <v>23</v>
      </c>
      <c r="L399" s="3" t="s">
        <v>714</v>
      </c>
      <c r="M399" s="3" t="s">
        <v>715</v>
      </c>
      <c r="N399" s="16"/>
      <c r="O399" s="3"/>
      <c r="P399" s="3"/>
      <c r="Q399" s="3"/>
      <c r="R399" s="3"/>
      <c r="S399" s="3"/>
      <c r="T399" s="3"/>
      <c r="U399" s="3"/>
      <c r="V399" s="3"/>
    </row>
    <row r="400" spans="1:22" ht="31.5" x14ac:dyDescent="0.5">
      <c r="A400" s="3" t="s">
        <v>230</v>
      </c>
      <c r="B400" s="3" t="s">
        <v>177</v>
      </c>
      <c r="C400" s="3" t="s">
        <v>486</v>
      </c>
      <c r="D400" s="3" t="s">
        <v>177</v>
      </c>
      <c r="E400" s="3" t="s">
        <v>18</v>
      </c>
      <c r="F400" s="3" t="s">
        <v>487</v>
      </c>
      <c r="G400" s="3" t="s">
        <v>177</v>
      </c>
      <c r="H400" s="3" t="s">
        <v>20</v>
      </c>
      <c r="I400" s="3" t="s">
        <v>179</v>
      </c>
      <c r="J400" s="3"/>
      <c r="K400" s="3"/>
      <c r="N400" s="16"/>
      <c r="O400" s="3"/>
      <c r="P400" s="3"/>
      <c r="Q400" s="3"/>
      <c r="R400" s="3"/>
      <c r="S400" s="3"/>
      <c r="T400" s="3"/>
      <c r="U400" s="3"/>
      <c r="V400" s="3"/>
    </row>
    <row r="401" spans="1:22" ht="31.5" x14ac:dyDescent="0.5">
      <c r="A401" s="3" t="s">
        <v>230</v>
      </c>
      <c r="B401" s="3" t="s">
        <v>177</v>
      </c>
      <c r="C401" s="3" t="s">
        <v>1878</v>
      </c>
      <c r="D401" s="3" t="s">
        <v>177</v>
      </c>
      <c r="E401" s="3" t="s">
        <v>18</v>
      </c>
      <c r="F401" s="3" t="s">
        <v>1879</v>
      </c>
      <c r="G401" s="3" t="s">
        <v>177</v>
      </c>
      <c r="H401" s="3" t="s">
        <v>20</v>
      </c>
      <c r="I401" s="3" t="s">
        <v>179</v>
      </c>
      <c r="J401" s="3"/>
      <c r="K401" s="3"/>
      <c r="L401" s="3" t="s">
        <v>2175</v>
      </c>
      <c r="M401" s="3" t="s">
        <v>2176</v>
      </c>
      <c r="N401" s="16"/>
      <c r="O401" s="3"/>
      <c r="P401" s="3"/>
      <c r="Q401" s="3"/>
      <c r="R401" s="3"/>
      <c r="S401" s="3"/>
      <c r="T401" s="3"/>
      <c r="U401" s="3"/>
      <c r="V401" s="3"/>
    </row>
    <row r="402" spans="1:22" ht="31.5" x14ac:dyDescent="0.5">
      <c r="A402" s="3" t="s">
        <v>230</v>
      </c>
      <c r="B402" s="3" t="s">
        <v>308</v>
      </c>
      <c r="C402" s="3" t="s">
        <v>1900</v>
      </c>
      <c r="D402" s="3" t="s">
        <v>124</v>
      </c>
      <c r="E402" s="3" t="s">
        <v>76</v>
      </c>
      <c r="F402" s="3" t="s">
        <v>1901</v>
      </c>
      <c r="G402" s="3" t="s">
        <v>124</v>
      </c>
      <c r="H402" s="3" t="s">
        <v>20</v>
      </c>
      <c r="I402" s="3" t="s">
        <v>127</v>
      </c>
      <c r="J402" s="3" t="s">
        <v>1902</v>
      </c>
      <c r="K402" s="3" t="s">
        <v>23</v>
      </c>
      <c r="L402" s="3" t="s">
        <v>1903</v>
      </c>
      <c r="M402" s="3" t="s">
        <v>2177</v>
      </c>
      <c r="N402" s="16"/>
      <c r="O402" s="3"/>
      <c r="P402" s="3"/>
      <c r="Q402" s="3"/>
      <c r="R402" s="3"/>
      <c r="S402" s="3"/>
      <c r="T402" s="3"/>
      <c r="U402" s="3"/>
      <c r="V402" s="3"/>
    </row>
    <row r="403" spans="1:22" ht="31.5" x14ac:dyDescent="0.5">
      <c r="A403" s="3" t="s">
        <v>230</v>
      </c>
      <c r="B403" s="3" t="s">
        <v>308</v>
      </c>
      <c r="C403" s="3" t="s">
        <v>1904</v>
      </c>
      <c r="D403" s="3" t="s">
        <v>124</v>
      </c>
      <c r="E403" s="3" t="s">
        <v>76</v>
      </c>
      <c r="F403" s="3" t="s">
        <v>1905</v>
      </c>
      <c r="G403" s="3" t="s">
        <v>124</v>
      </c>
      <c r="H403" s="3" t="s">
        <v>20</v>
      </c>
      <c r="I403" s="3" t="s">
        <v>127</v>
      </c>
      <c r="J403" s="3" t="s">
        <v>1906</v>
      </c>
      <c r="K403" s="3" t="s">
        <v>23</v>
      </c>
      <c r="L403" s="3" t="s">
        <v>1907</v>
      </c>
      <c r="M403" s="3"/>
      <c r="N403" s="16"/>
      <c r="O403" s="3"/>
      <c r="P403" s="3"/>
      <c r="Q403" s="3"/>
      <c r="R403" s="3"/>
      <c r="S403" s="3"/>
      <c r="T403" s="3"/>
      <c r="U403" s="3"/>
      <c r="V403" s="3"/>
    </row>
    <row r="404" spans="1:22" ht="31.5" x14ac:dyDescent="0.5">
      <c r="A404" s="3" t="s">
        <v>230</v>
      </c>
      <c r="B404" s="3" t="s">
        <v>38</v>
      </c>
      <c r="C404" s="3" t="s">
        <v>1151</v>
      </c>
      <c r="D404" s="3" t="s">
        <v>828</v>
      </c>
      <c r="E404" s="3" t="s">
        <v>18</v>
      </c>
      <c r="F404" s="3" t="s">
        <v>1152</v>
      </c>
      <c r="G404" s="3" t="s">
        <v>828</v>
      </c>
      <c r="H404" s="3" t="s">
        <v>20</v>
      </c>
      <c r="I404" s="3" t="s">
        <v>830</v>
      </c>
      <c r="J404" s="3" t="s">
        <v>1153</v>
      </c>
      <c r="K404" s="3" t="s">
        <v>1153</v>
      </c>
      <c r="L404" s="3" t="s">
        <v>1154</v>
      </c>
      <c r="M404" s="3"/>
      <c r="N404" s="16"/>
      <c r="O404" s="3"/>
      <c r="P404" s="3"/>
      <c r="Q404" s="3"/>
      <c r="R404" s="3"/>
      <c r="S404" s="3"/>
      <c r="T404" s="3"/>
      <c r="U404" s="3"/>
      <c r="V404" s="3"/>
    </row>
    <row r="405" spans="1:22" ht="31.5" x14ac:dyDescent="0.5">
      <c r="A405" s="3" t="s">
        <v>230</v>
      </c>
      <c r="B405" s="3" t="s">
        <v>231</v>
      </c>
      <c r="C405" s="3" t="s">
        <v>232</v>
      </c>
      <c r="D405" s="3" t="s">
        <v>233</v>
      </c>
      <c r="E405" s="3" t="s">
        <v>18</v>
      </c>
      <c r="F405" s="3" t="s">
        <v>234</v>
      </c>
      <c r="G405" s="3" t="s">
        <v>235</v>
      </c>
      <c r="H405" s="3" t="s">
        <v>20</v>
      </c>
      <c r="I405" s="3" t="s">
        <v>236</v>
      </c>
      <c r="J405" s="3" t="s">
        <v>23</v>
      </c>
      <c r="K405" s="3" t="s">
        <v>23</v>
      </c>
      <c r="L405" s="15" t="s">
        <v>23</v>
      </c>
      <c r="M405" s="3" t="s">
        <v>23</v>
      </c>
      <c r="N405" s="16" t="s">
        <v>23</v>
      </c>
      <c r="O405" s="3"/>
      <c r="P405" s="3"/>
      <c r="Q405" s="3"/>
      <c r="R405" s="3"/>
      <c r="S405" s="3"/>
      <c r="T405" s="3"/>
      <c r="U405" s="3"/>
      <c r="V405" s="3"/>
    </row>
    <row r="406" spans="1:22" ht="31.5" x14ac:dyDescent="0.5">
      <c r="A406" s="3" t="s">
        <v>230</v>
      </c>
      <c r="B406" s="3" t="s">
        <v>301</v>
      </c>
      <c r="C406" s="3" t="s">
        <v>602</v>
      </c>
      <c r="D406" s="3" t="s">
        <v>603</v>
      </c>
      <c r="E406" s="3" t="s">
        <v>76</v>
      </c>
      <c r="F406" s="3" t="s">
        <v>604</v>
      </c>
      <c r="G406" s="3" t="s">
        <v>603</v>
      </c>
      <c r="H406" s="3" t="s">
        <v>20</v>
      </c>
      <c r="I406" s="3" t="s">
        <v>605</v>
      </c>
      <c r="J406" s="3" t="s">
        <v>606</v>
      </c>
      <c r="K406" s="3" t="s">
        <v>606</v>
      </c>
      <c r="L406" s="15" t="s">
        <v>607</v>
      </c>
      <c r="M406" s="3"/>
      <c r="N406" s="16"/>
      <c r="O406" s="3"/>
      <c r="P406" s="3"/>
      <c r="Q406" s="3"/>
      <c r="R406" s="3"/>
      <c r="S406" s="3"/>
      <c r="T406" s="3"/>
      <c r="U406" s="3"/>
      <c r="V406" s="3"/>
    </row>
    <row r="407" spans="1:22" ht="31.5" x14ac:dyDescent="0.5">
      <c r="A407" s="3" t="s">
        <v>230</v>
      </c>
      <c r="B407" s="3" t="s">
        <v>216</v>
      </c>
      <c r="C407" s="3" t="s">
        <v>514</v>
      </c>
      <c r="D407" s="3" t="s">
        <v>246</v>
      </c>
      <c r="E407" s="3" t="s">
        <v>76</v>
      </c>
      <c r="F407" s="3" t="s">
        <v>515</v>
      </c>
      <c r="G407" s="3" t="s">
        <v>516</v>
      </c>
      <c r="H407" s="3" t="s">
        <v>20</v>
      </c>
      <c r="I407" s="3" t="s">
        <v>517</v>
      </c>
      <c r="J407" s="3" t="s">
        <v>518</v>
      </c>
      <c r="K407" s="3" t="s">
        <v>23</v>
      </c>
      <c r="L407" s="3" t="s">
        <v>519</v>
      </c>
      <c r="M407" s="3" t="s">
        <v>23</v>
      </c>
      <c r="N407" s="16"/>
      <c r="O407" s="3"/>
      <c r="P407" s="3"/>
      <c r="Q407" s="3"/>
      <c r="R407" s="3"/>
      <c r="S407" s="3"/>
      <c r="T407" s="3"/>
      <c r="U407" s="3"/>
      <c r="V407" s="3"/>
    </row>
    <row r="408" spans="1:22" ht="31.5" x14ac:dyDescent="0.5">
      <c r="A408" s="3" t="s">
        <v>230</v>
      </c>
      <c r="B408" s="3" t="s">
        <v>223</v>
      </c>
      <c r="C408" s="3" t="s">
        <v>608</v>
      </c>
      <c r="D408" s="3" t="s">
        <v>201</v>
      </c>
      <c r="E408" s="3" t="s">
        <v>76</v>
      </c>
      <c r="F408" s="3" t="s">
        <v>609</v>
      </c>
      <c r="G408" s="3" t="s">
        <v>201</v>
      </c>
      <c r="H408" s="3" t="s">
        <v>20</v>
      </c>
      <c r="I408" s="3" t="s">
        <v>203</v>
      </c>
      <c r="J408" s="3" t="s">
        <v>610</v>
      </c>
      <c r="K408" s="3" t="s">
        <v>610</v>
      </c>
      <c r="L408" s="3" t="s">
        <v>611</v>
      </c>
      <c r="M408" s="3"/>
      <c r="N408" s="16"/>
      <c r="O408" s="3"/>
      <c r="P408" s="3"/>
      <c r="Q408" s="3"/>
      <c r="R408" s="3"/>
      <c r="S408" s="3"/>
      <c r="T408" s="3"/>
      <c r="U408" s="3"/>
      <c r="V408" s="3"/>
    </row>
    <row r="409" spans="1:22" ht="31.5" x14ac:dyDescent="0.5">
      <c r="A409" s="3" t="s">
        <v>230</v>
      </c>
      <c r="B409" s="3" t="s">
        <v>400</v>
      </c>
      <c r="C409" s="3" t="s">
        <v>1657</v>
      </c>
      <c r="D409" s="3" t="s">
        <v>546</v>
      </c>
      <c r="E409" s="3" t="s">
        <v>18</v>
      </c>
      <c r="F409" s="3" t="s">
        <v>1658</v>
      </c>
      <c r="G409" s="3" t="s">
        <v>546</v>
      </c>
      <c r="H409" s="3" t="s">
        <v>20</v>
      </c>
      <c r="I409" s="3" t="s">
        <v>548</v>
      </c>
      <c r="J409" s="3" t="s">
        <v>1659</v>
      </c>
      <c r="K409" s="3" t="s">
        <v>1659</v>
      </c>
      <c r="L409" s="3" t="s">
        <v>1660</v>
      </c>
      <c r="M409" s="3"/>
      <c r="N409" s="16"/>
      <c r="O409" s="3"/>
      <c r="P409" s="3"/>
      <c r="Q409" s="3"/>
      <c r="R409" s="3"/>
      <c r="S409" s="3"/>
      <c r="T409" s="3"/>
      <c r="U409" s="3"/>
      <c r="V409" s="3"/>
    </row>
    <row r="410" spans="1:22" ht="31.5" x14ac:dyDescent="0.5">
      <c r="A410" s="3" t="s">
        <v>230</v>
      </c>
      <c r="B410" s="3" t="s">
        <v>143</v>
      </c>
      <c r="C410" s="3" t="s">
        <v>2094</v>
      </c>
      <c r="D410" s="3" t="s">
        <v>1400</v>
      </c>
      <c r="E410" s="3" t="s">
        <v>18</v>
      </c>
      <c r="F410" s="3" t="s">
        <v>2095</v>
      </c>
      <c r="G410" s="3" t="s">
        <v>1400</v>
      </c>
      <c r="H410" s="3" t="s">
        <v>20</v>
      </c>
      <c r="I410" s="3" t="s">
        <v>136</v>
      </c>
      <c r="J410" s="3" t="s">
        <v>2096</v>
      </c>
      <c r="K410" s="3" t="s">
        <v>23</v>
      </c>
      <c r="L410" s="3" t="s">
        <v>2097</v>
      </c>
      <c r="M410" s="3"/>
      <c r="N410" s="16"/>
      <c r="O410" s="3"/>
      <c r="P410" s="3"/>
      <c r="Q410" s="3"/>
      <c r="R410" s="3"/>
      <c r="S410" s="3"/>
      <c r="T410" s="3"/>
      <c r="U410" s="3"/>
      <c r="V410" s="3"/>
    </row>
    <row r="411" spans="1:22" ht="31.5" x14ac:dyDescent="0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6"/>
      <c r="O411" s="3"/>
      <c r="P411" s="3"/>
      <c r="Q411" s="3"/>
      <c r="R411" s="3"/>
      <c r="S411" s="3"/>
      <c r="T411" s="3"/>
      <c r="U411" s="3"/>
      <c r="V411" s="3"/>
    </row>
    <row r="412" spans="1:22" ht="31.5" x14ac:dyDescent="0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6"/>
      <c r="O412" s="3"/>
      <c r="P412" s="3"/>
      <c r="Q412" s="3"/>
      <c r="R412" s="3"/>
      <c r="S412" s="3"/>
      <c r="T412" s="3"/>
      <c r="U412" s="3"/>
      <c r="V412" s="3"/>
    </row>
    <row r="413" spans="1:22" ht="31.5" x14ac:dyDescent="0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6"/>
      <c r="O413" s="3"/>
      <c r="P413" s="3"/>
      <c r="Q413" s="3"/>
      <c r="R413" s="3"/>
      <c r="S413" s="3"/>
      <c r="T413" s="3"/>
      <c r="U413" s="3"/>
      <c r="V413" s="3"/>
    </row>
    <row r="414" spans="1:22" ht="31.5" x14ac:dyDescent="0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6"/>
      <c r="O414" s="3"/>
      <c r="P414" s="3"/>
      <c r="Q414" s="3"/>
      <c r="R414" s="3"/>
      <c r="S414" s="3"/>
      <c r="T414" s="3"/>
      <c r="U414" s="3"/>
      <c r="V414" s="3"/>
    </row>
    <row r="415" spans="1:22" ht="31.5" x14ac:dyDescent="0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6"/>
      <c r="O415" s="3"/>
      <c r="P415" s="3"/>
      <c r="Q415" s="3"/>
      <c r="R415" s="3"/>
      <c r="S415" s="3"/>
      <c r="T415" s="3"/>
      <c r="U415" s="3"/>
      <c r="V415" s="3"/>
    </row>
    <row r="416" spans="1:22" ht="31.5" x14ac:dyDescent="0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6"/>
      <c r="O416" s="3"/>
      <c r="P416" s="3"/>
      <c r="Q416" s="3"/>
      <c r="R416" s="3"/>
      <c r="S416" s="3"/>
      <c r="T416" s="3"/>
      <c r="U416" s="3"/>
      <c r="V416" s="3"/>
    </row>
    <row r="417" spans="1:22" ht="31.5" x14ac:dyDescent="0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6"/>
      <c r="O417" s="3"/>
      <c r="P417" s="3"/>
      <c r="Q417" s="3"/>
      <c r="R417" s="3"/>
      <c r="S417" s="3"/>
      <c r="T417" s="3"/>
      <c r="U417" s="3"/>
      <c r="V417" s="3"/>
    </row>
    <row r="418" spans="1:22" ht="31.5" x14ac:dyDescent="0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6"/>
      <c r="O418" s="3"/>
      <c r="P418" s="3"/>
      <c r="Q418" s="3"/>
      <c r="R418" s="3"/>
      <c r="S418" s="3"/>
      <c r="T418" s="3"/>
      <c r="U418" s="3"/>
      <c r="V418" s="3"/>
    </row>
    <row r="419" spans="1:22" ht="31.5" x14ac:dyDescent="0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6"/>
      <c r="O419" s="3"/>
      <c r="P419" s="3"/>
      <c r="Q419" s="3"/>
      <c r="R419" s="3"/>
      <c r="S419" s="3"/>
      <c r="T419" s="3"/>
      <c r="U419" s="3"/>
      <c r="V419" s="3"/>
    </row>
    <row r="420" spans="1:22" ht="31.5" x14ac:dyDescent="0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6"/>
      <c r="O420" s="3"/>
      <c r="P420" s="3"/>
      <c r="Q420" s="3"/>
      <c r="R420" s="3"/>
      <c r="S420" s="3"/>
      <c r="T420" s="3"/>
      <c r="U420" s="3"/>
      <c r="V420" s="3"/>
    </row>
    <row r="421" spans="1:22" ht="31.5" x14ac:dyDescent="0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6"/>
      <c r="O421" s="3"/>
      <c r="P421" s="3"/>
      <c r="Q421" s="3"/>
      <c r="R421" s="3"/>
      <c r="S421" s="3"/>
      <c r="T421" s="3"/>
      <c r="U421" s="3"/>
      <c r="V421" s="3"/>
    </row>
    <row r="422" spans="1:22" ht="31.5" x14ac:dyDescent="0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6"/>
      <c r="O422" s="3"/>
      <c r="P422" s="3"/>
      <c r="Q422" s="3"/>
      <c r="R422" s="3"/>
      <c r="S422" s="3"/>
      <c r="T422" s="3"/>
      <c r="U422" s="3"/>
      <c r="V422" s="3"/>
    </row>
    <row r="423" spans="1:22" ht="31.5" x14ac:dyDescent="0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6"/>
      <c r="O423" s="3"/>
      <c r="P423" s="3"/>
      <c r="Q423" s="3"/>
      <c r="R423" s="3"/>
      <c r="S423" s="3"/>
      <c r="T423" s="3"/>
      <c r="U423" s="3"/>
      <c r="V423" s="3"/>
    </row>
    <row r="424" spans="1:22" ht="31.5" x14ac:dyDescent="0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6"/>
      <c r="O424" s="3"/>
      <c r="P424" s="3"/>
      <c r="Q424" s="3"/>
      <c r="R424" s="3"/>
      <c r="S424" s="3"/>
      <c r="T424" s="3"/>
      <c r="U424" s="3"/>
      <c r="V424" s="3"/>
    </row>
    <row r="425" spans="1:22" ht="31.5" x14ac:dyDescent="0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6"/>
      <c r="O425" s="3"/>
      <c r="P425" s="3"/>
      <c r="Q425" s="3"/>
      <c r="R425" s="3"/>
      <c r="S425" s="3"/>
      <c r="T425" s="3"/>
      <c r="U425" s="3"/>
      <c r="V425" s="3"/>
    </row>
    <row r="426" spans="1:22" ht="31.5" x14ac:dyDescent="0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6"/>
      <c r="O426" s="3"/>
      <c r="P426" s="3"/>
      <c r="Q426" s="3"/>
      <c r="R426" s="3"/>
      <c r="S426" s="3"/>
      <c r="T426" s="3"/>
      <c r="U426" s="3"/>
      <c r="V426" s="3"/>
    </row>
    <row r="427" spans="1:22" ht="31.5" x14ac:dyDescent="0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6"/>
      <c r="O427" s="3"/>
      <c r="P427" s="3"/>
      <c r="Q427" s="3"/>
      <c r="R427" s="3"/>
      <c r="S427" s="3"/>
      <c r="T427" s="3"/>
      <c r="U427" s="3"/>
      <c r="V427" s="3"/>
    </row>
    <row r="428" spans="1:22" ht="31.5" x14ac:dyDescent="0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6"/>
      <c r="O428" s="3"/>
      <c r="P428" s="3"/>
      <c r="Q428" s="3"/>
      <c r="R428" s="3"/>
      <c r="S428" s="3"/>
      <c r="T428" s="3"/>
      <c r="U428" s="3"/>
      <c r="V428" s="3"/>
    </row>
    <row r="429" spans="1:22" ht="31.5" x14ac:dyDescent="0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6"/>
      <c r="O429" s="3"/>
      <c r="P429" s="3"/>
      <c r="Q429" s="3"/>
      <c r="R429" s="3"/>
      <c r="S429" s="3"/>
      <c r="T429" s="3"/>
      <c r="U429" s="3"/>
      <c r="V429" s="3"/>
    </row>
    <row r="430" spans="1:22" ht="31.5" x14ac:dyDescent="0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6"/>
      <c r="O430" s="3"/>
      <c r="P430" s="3"/>
      <c r="Q430" s="3"/>
      <c r="R430" s="3"/>
      <c r="S430" s="3"/>
      <c r="T430" s="3"/>
      <c r="U430" s="3"/>
      <c r="V430" s="3"/>
    </row>
    <row r="431" spans="1:22" ht="31.5" x14ac:dyDescent="0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6"/>
      <c r="O431" s="3"/>
      <c r="P431" s="3"/>
      <c r="Q431" s="3"/>
      <c r="R431" s="3"/>
      <c r="S431" s="3"/>
      <c r="T431" s="3"/>
      <c r="U431" s="3"/>
      <c r="V431" s="3"/>
    </row>
    <row r="432" spans="1:22" ht="31.5" x14ac:dyDescent="0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6"/>
      <c r="O432" s="3"/>
      <c r="P432" s="3"/>
      <c r="Q432" s="3"/>
      <c r="R432" s="3"/>
      <c r="S432" s="3"/>
      <c r="T432" s="3"/>
      <c r="U432" s="3"/>
      <c r="V432" s="3"/>
    </row>
    <row r="433" spans="14:14" s="3" customFormat="1" ht="31.5" x14ac:dyDescent="0.5">
      <c r="N433" s="16"/>
    </row>
    <row r="434" spans="14:14" s="3" customFormat="1" ht="31.5" x14ac:dyDescent="0.5">
      <c r="N434" s="16"/>
    </row>
    <row r="435" spans="14:14" s="3" customFormat="1" ht="31.5" x14ac:dyDescent="0.5">
      <c r="N435" s="16"/>
    </row>
    <row r="436" spans="14:14" s="3" customFormat="1" ht="31.5" x14ac:dyDescent="0.5">
      <c r="N436" s="16"/>
    </row>
    <row r="437" spans="14:14" s="3" customFormat="1" ht="31.5" x14ac:dyDescent="0.5">
      <c r="N437" s="16"/>
    </row>
    <row r="438" spans="14:14" s="3" customFormat="1" ht="31.5" x14ac:dyDescent="0.5">
      <c r="N438" s="16"/>
    </row>
    <row r="439" spans="14:14" s="3" customFormat="1" ht="31.5" x14ac:dyDescent="0.5">
      <c r="N439" s="16"/>
    </row>
    <row r="440" spans="14:14" s="3" customFormat="1" ht="31.5" x14ac:dyDescent="0.5">
      <c r="N440" s="16"/>
    </row>
    <row r="441" spans="14:14" s="3" customFormat="1" ht="31.5" x14ac:dyDescent="0.5">
      <c r="N441" s="16"/>
    </row>
    <row r="442" spans="14:14" s="3" customFormat="1" ht="31.5" x14ac:dyDescent="0.5">
      <c r="N442" s="16"/>
    </row>
    <row r="443" spans="14:14" s="3" customFormat="1" ht="31.5" x14ac:dyDescent="0.5">
      <c r="N443" s="16"/>
    </row>
    <row r="444" spans="14:14" s="3" customFormat="1" ht="31.5" x14ac:dyDescent="0.5">
      <c r="N444" s="16"/>
    </row>
    <row r="445" spans="14:14" s="3" customFormat="1" ht="31.5" x14ac:dyDescent="0.5">
      <c r="N445" s="16"/>
    </row>
    <row r="446" spans="14:14" s="3" customFormat="1" ht="31.5" x14ac:dyDescent="0.5">
      <c r="N446" s="16"/>
    </row>
    <row r="447" spans="14:14" s="3" customFormat="1" ht="31.5" x14ac:dyDescent="0.5">
      <c r="N447" s="16"/>
    </row>
    <row r="448" spans="14:14" s="3" customFormat="1" ht="31.5" x14ac:dyDescent="0.5">
      <c r="N448" s="16"/>
    </row>
    <row r="449" spans="13:14" s="3" customFormat="1" ht="31.5" x14ac:dyDescent="0.5">
      <c r="N449" s="16"/>
    </row>
    <row r="450" spans="13:14" s="3" customFormat="1" ht="31.5" x14ac:dyDescent="0.5">
      <c r="M450" s="13"/>
      <c r="N450" s="16"/>
    </row>
    <row r="451" spans="13:14" s="3" customFormat="1" ht="31.5" x14ac:dyDescent="0.5">
      <c r="N451" s="16"/>
    </row>
    <row r="452" spans="13:14" s="3" customFormat="1" ht="31.5" x14ac:dyDescent="0.5">
      <c r="N452" s="16"/>
    </row>
    <row r="453" spans="13:14" s="3" customFormat="1" ht="31.5" x14ac:dyDescent="0.5">
      <c r="N453" s="16"/>
    </row>
    <row r="454" spans="13:14" s="3" customFormat="1" ht="31.5" x14ac:dyDescent="0.5">
      <c r="N454" s="16"/>
    </row>
    <row r="455" spans="13:14" s="3" customFormat="1" ht="31.5" x14ac:dyDescent="0.5">
      <c r="N455" s="16"/>
    </row>
    <row r="456" spans="13:14" s="3" customFormat="1" ht="31.5" x14ac:dyDescent="0.5">
      <c r="N456" s="16"/>
    </row>
    <row r="457" spans="13:14" s="3" customFormat="1" ht="31.5" x14ac:dyDescent="0.5">
      <c r="N457" s="16"/>
    </row>
    <row r="458" spans="13:14" s="3" customFormat="1" ht="31.5" x14ac:dyDescent="0.5">
      <c r="N458" s="16"/>
    </row>
    <row r="459" spans="13:14" s="3" customFormat="1" ht="31.5" x14ac:dyDescent="0.5">
      <c r="N459" s="16"/>
    </row>
    <row r="460" spans="13:14" s="3" customFormat="1" ht="31.5" x14ac:dyDescent="0.5">
      <c r="N460" s="16"/>
    </row>
    <row r="461" spans="13:14" s="3" customFormat="1" ht="31.5" x14ac:dyDescent="0.5">
      <c r="N461" s="16"/>
    </row>
    <row r="462" spans="13:14" s="3" customFormat="1" ht="31.5" x14ac:dyDescent="0.5">
      <c r="N462" s="16"/>
    </row>
    <row r="463" spans="13:14" s="3" customFormat="1" ht="31.5" x14ac:dyDescent="0.5">
      <c r="N463" s="16"/>
    </row>
    <row r="464" spans="13:14" s="3" customFormat="1" ht="31.5" x14ac:dyDescent="0.5">
      <c r="N464" s="16"/>
    </row>
    <row r="465" spans="1:22" s="3" customFormat="1" ht="31.5" x14ac:dyDescent="0.5">
      <c r="N465" s="16"/>
    </row>
    <row r="466" spans="1:22" s="3" customFormat="1" ht="31.5" x14ac:dyDescent="0.5">
      <c r="N466" s="16"/>
    </row>
    <row r="467" spans="1:22" s="3" customFormat="1" ht="31.5" x14ac:dyDescent="0.5">
      <c r="N467" s="16"/>
    </row>
    <row r="468" spans="1:22" s="3" customFormat="1" ht="31.5" x14ac:dyDescent="0.5">
      <c r="N468" s="16"/>
    </row>
    <row r="469" spans="1:22" s="3" customFormat="1" ht="31.5" x14ac:dyDescent="0.5">
      <c r="N469" s="16"/>
    </row>
    <row r="470" spans="1:22" s="3" customFormat="1" ht="31.5" x14ac:dyDescent="0.5">
      <c r="N470" s="16"/>
    </row>
    <row r="471" spans="1:22" s="3" customFormat="1" ht="31.5" x14ac:dyDescent="0.5">
      <c r="N471" s="16"/>
    </row>
    <row r="472" spans="1:22" s="3" customFormat="1" ht="31.5" x14ac:dyDescent="0.5">
      <c r="N472" s="16"/>
    </row>
    <row r="473" spans="1:22" s="3" customFormat="1" ht="31.5" x14ac:dyDescent="0.5">
      <c r="N473" s="16"/>
    </row>
    <row r="474" spans="1:22" s="3" customFormat="1" ht="31.5" x14ac:dyDescent="0.5">
      <c r="N474" s="16"/>
    </row>
    <row r="475" spans="1:22" s="3" customFormat="1" ht="31.5" x14ac:dyDescent="0.5">
      <c r="N475" s="16"/>
    </row>
    <row r="476" spans="1:22" s="3" customFormat="1" ht="31.5" x14ac:dyDescent="0.5">
      <c r="N476" s="16"/>
    </row>
    <row r="477" spans="1:22" s="3" customFormat="1" ht="31.5" x14ac:dyDescent="0.5">
      <c r="N477" s="16"/>
    </row>
    <row r="478" spans="1:22" ht="31.5" x14ac:dyDescent="0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6"/>
      <c r="O478" s="3"/>
      <c r="P478" s="3"/>
      <c r="Q478" s="3"/>
      <c r="R478" s="3"/>
      <c r="S478" s="3"/>
      <c r="T478" s="3"/>
      <c r="U478" s="3"/>
      <c r="V478" s="3"/>
    </row>
    <row r="479" spans="1:22" ht="31.5" x14ac:dyDescent="0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6"/>
      <c r="O479" s="3"/>
      <c r="P479" s="3"/>
      <c r="Q479" s="3"/>
      <c r="R479" s="3"/>
      <c r="S479" s="3"/>
      <c r="T479" s="3"/>
      <c r="U479" s="3"/>
      <c r="V479" s="3"/>
    </row>
    <row r="480" spans="1:22" ht="31.5" x14ac:dyDescent="0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6"/>
      <c r="O480" s="3"/>
      <c r="P480" s="3"/>
      <c r="Q480" s="3"/>
      <c r="R480" s="3"/>
      <c r="S480" s="3"/>
      <c r="T480" s="3"/>
      <c r="U480" s="3"/>
      <c r="V480" s="3"/>
    </row>
    <row r="481" spans="1:22" ht="31.5" x14ac:dyDescent="0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6"/>
      <c r="O481" s="3"/>
      <c r="P481" s="3"/>
      <c r="Q481" s="3"/>
      <c r="R481" s="3"/>
      <c r="S481" s="3"/>
      <c r="T481" s="3"/>
      <c r="U481" s="3"/>
      <c r="V481" s="3"/>
    </row>
    <row r="482" spans="1:22" ht="31.5" x14ac:dyDescent="0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6"/>
      <c r="O482" s="3"/>
      <c r="P482" s="3"/>
      <c r="Q482" s="3"/>
      <c r="R482" s="3"/>
      <c r="S482" s="3"/>
      <c r="T482" s="3"/>
      <c r="U482" s="3"/>
      <c r="V482" s="3"/>
    </row>
    <row r="483" spans="1:22" ht="31.5" x14ac:dyDescent="0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6"/>
      <c r="O483" s="3"/>
      <c r="P483" s="3"/>
      <c r="Q483" s="3"/>
      <c r="R483" s="3"/>
      <c r="S483" s="3"/>
      <c r="T483" s="3"/>
      <c r="U483" s="3"/>
      <c r="V483" s="3"/>
    </row>
    <row r="484" spans="1:22" ht="31.5" x14ac:dyDescent="0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6"/>
      <c r="O484" s="3"/>
      <c r="P484" s="3"/>
      <c r="Q484" s="3"/>
      <c r="R484" s="3"/>
      <c r="S484" s="3"/>
      <c r="T484" s="3"/>
      <c r="U484" s="3"/>
      <c r="V484" s="3"/>
    </row>
    <row r="485" spans="1:22" ht="31.5" x14ac:dyDescent="0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6"/>
      <c r="O485" s="3"/>
      <c r="P485" s="3"/>
      <c r="Q485" s="3"/>
      <c r="R485" s="3"/>
      <c r="S485" s="3"/>
      <c r="T485" s="3"/>
      <c r="U485" s="3"/>
      <c r="V485" s="3"/>
    </row>
    <row r="486" spans="1:22" ht="31.5" x14ac:dyDescent="0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6"/>
      <c r="O486" s="3"/>
      <c r="P486" s="3"/>
      <c r="Q486" s="3"/>
      <c r="R486" s="3"/>
      <c r="S486" s="3"/>
      <c r="T486" s="3"/>
      <c r="U486" s="3"/>
      <c r="V486" s="3"/>
    </row>
    <row r="487" spans="1:22" ht="31.5" x14ac:dyDescent="0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6"/>
      <c r="O487" s="3"/>
      <c r="P487" s="3"/>
      <c r="Q487" s="3"/>
      <c r="R487" s="3"/>
      <c r="S487" s="3"/>
      <c r="T487" s="3"/>
      <c r="U487" s="3"/>
      <c r="V487" s="3"/>
    </row>
    <row r="488" spans="1:22" ht="31.5" x14ac:dyDescent="0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6"/>
      <c r="O488" s="3"/>
      <c r="P488" s="3"/>
      <c r="Q488" s="3"/>
      <c r="R488" s="3"/>
      <c r="S488" s="3"/>
      <c r="T488" s="3"/>
      <c r="U488" s="3"/>
      <c r="V488" s="3"/>
    </row>
    <row r="489" spans="1:22" ht="31.5" x14ac:dyDescent="0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6"/>
      <c r="O489" s="3"/>
      <c r="P489" s="3"/>
      <c r="Q489" s="3"/>
      <c r="R489" s="3"/>
      <c r="S489" s="3"/>
      <c r="T489" s="3"/>
      <c r="U489" s="3"/>
      <c r="V489" s="3"/>
    </row>
    <row r="490" spans="1:22" ht="31.5" x14ac:dyDescent="0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6"/>
      <c r="O490" s="3"/>
      <c r="P490" s="3"/>
      <c r="Q490" s="3"/>
      <c r="R490" s="3"/>
      <c r="S490" s="3"/>
      <c r="T490" s="3"/>
      <c r="U490" s="3"/>
      <c r="V490" s="3"/>
    </row>
    <row r="491" spans="1:22" ht="31.5" x14ac:dyDescent="0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6"/>
      <c r="O491" s="3"/>
      <c r="P491" s="3"/>
      <c r="Q491" s="3"/>
      <c r="R491" s="3"/>
      <c r="S491" s="3"/>
      <c r="T491" s="3"/>
      <c r="U491" s="3"/>
      <c r="V491" s="3"/>
    </row>
    <row r="492" spans="1:22" ht="31.5" x14ac:dyDescent="0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6"/>
      <c r="O492" s="3"/>
      <c r="P492" s="3"/>
      <c r="Q492" s="3"/>
      <c r="R492" s="3"/>
      <c r="S492" s="3"/>
      <c r="T492" s="3"/>
      <c r="U492" s="3"/>
      <c r="V492" s="3"/>
    </row>
    <row r="493" spans="1:22" ht="31.5" x14ac:dyDescent="0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6"/>
      <c r="O493" s="3"/>
      <c r="P493" s="3"/>
      <c r="Q493" s="3"/>
      <c r="R493" s="3"/>
      <c r="S493" s="3"/>
      <c r="T493" s="3"/>
      <c r="U493" s="3"/>
      <c r="V493" s="3"/>
    </row>
    <row r="494" spans="1:22" ht="31.5" x14ac:dyDescent="0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6"/>
      <c r="O494" s="3"/>
      <c r="P494" s="3"/>
      <c r="Q494" s="3"/>
      <c r="R494" s="3"/>
      <c r="S494" s="3"/>
      <c r="T494" s="3"/>
      <c r="U494" s="3"/>
      <c r="V494" s="3"/>
    </row>
    <row r="495" spans="1:22" ht="31.5" x14ac:dyDescent="0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6"/>
      <c r="O495" s="3"/>
      <c r="P495" s="3"/>
      <c r="Q495" s="3"/>
      <c r="R495" s="3"/>
      <c r="S495" s="3"/>
      <c r="T495" s="3"/>
      <c r="U495" s="3"/>
      <c r="V495" s="3"/>
    </row>
    <row r="496" spans="1:22" ht="31.5" x14ac:dyDescent="0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6"/>
      <c r="O496" s="3"/>
      <c r="P496" s="3"/>
      <c r="Q496" s="3"/>
      <c r="R496" s="3"/>
      <c r="S496" s="3"/>
      <c r="T496" s="3"/>
      <c r="U496" s="3"/>
      <c r="V496" s="3"/>
    </row>
    <row r="497" spans="1:22" ht="31.5" x14ac:dyDescent="0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6"/>
      <c r="O497" s="3"/>
      <c r="P497" s="3"/>
      <c r="Q497" s="3"/>
      <c r="R497" s="3"/>
      <c r="S497" s="3"/>
      <c r="T497" s="3"/>
      <c r="U497" s="3"/>
      <c r="V497" s="3"/>
    </row>
    <row r="498" spans="1:22" ht="31.5" x14ac:dyDescent="0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6"/>
      <c r="O498" s="3"/>
      <c r="P498" s="3"/>
      <c r="Q498" s="3"/>
      <c r="R498" s="3"/>
      <c r="S498" s="3"/>
      <c r="T498" s="3"/>
      <c r="U498" s="3"/>
      <c r="V498" s="3"/>
    </row>
    <row r="499" spans="1:22" ht="31.5" x14ac:dyDescent="0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6"/>
      <c r="O499" s="3"/>
      <c r="P499" s="3"/>
      <c r="Q499" s="3"/>
      <c r="R499" s="3"/>
      <c r="S499" s="3"/>
      <c r="T499" s="3"/>
      <c r="U499" s="3"/>
      <c r="V499" s="3"/>
    </row>
    <row r="500" spans="1:22" ht="31.5" x14ac:dyDescent="0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6"/>
      <c r="O500" s="3"/>
      <c r="P500" s="3"/>
      <c r="Q500" s="3"/>
      <c r="R500" s="3"/>
      <c r="S500" s="3"/>
      <c r="T500" s="3"/>
      <c r="U500" s="3"/>
      <c r="V500" s="3"/>
    </row>
    <row r="501" spans="1:22" ht="31.5" x14ac:dyDescent="0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6"/>
      <c r="O501" s="3"/>
      <c r="P501" s="3"/>
      <c r="Q501" s="3"/>
      <c r="R501" s="3"/>
      <c r="S501" s="3"/>
      <c r="T501" s="3"/>
      <c r="U501" s="3"/>
      <c r="V501" s="3"/>
    </row>
    <row r="502" spans="1:22" ht="31.5" x14ac:dyDescent="0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6"/>
      <c r="O502" s="3"/>
      <c r="P502" s="3"/>
      <c r="Q502" s="3"/>
      <c r="R502" s="3"/>
      <c r="S502" s="3"/>
      <c r="T502" s="3"/>
      <c r="U502" s="3"/>
      <c r="V502" s="3"/>
    </row>
    <row r="503" spans="1:22" ht="31.5" x14ac:dyDescent="0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6"/>
      <c r="O503" s="3"/>
      <c r="P503" s="3"/>
      <c r="Q503" s="3"/>
      <c r="R503" s="3"/>
      <c r="S503" s="3"/>
      <c r="T503" s="3"/>
      <c r="U503" s="3"/>
      <c r="V503" s="3"/>
    </row>
    <row r="504" spans="1:22" ht="31.5" x14ac:dyDescent="0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6"/>
      <c r="O504" s="3"/>
      <c r="P504" s="3"/>
      <c r="Q504" s="3"/>
      <c r="R504" s="3"/>
      <c r="S504" s="3"/>
      <c r="T504" s="3"/>
      <c r="U504" s="3"/>
      <c r="V504" s="3"/>
    </row>
    <row r="505" spans="1:22" ht="31.5" x14ac:dyDescent="0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6"/>
      <c r="O505" s="3"/>
      <c r="P505" s="3"/>
      <c r="Q505" s="3"/>
      <c r="R505" s="3"/>
      <c r="S505" s="3"/>
      <c r="T505" s="3"/>
      <c r="U505" s="3"/>
      <c r="V505" s="3"/>
    </row>
    <row r="506" spans="1:22" ht="31.5" x14ac:dyDescent="0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6"/>
      <c r="O506" s="3"/>
      <c r="P506" s="3"/>
      <c r="Q506" s="3"/>
      <c r="R506" s="3"/>
      <c r="S506" s="3"/>
      <c r="T506" s="3"/>
      <c r="U506" s="3"/>
      <c r="V506" s="3"/>
    </row>
    <row r="507" spans="1:22" s="3" customFormat="1" ht="31.5" x14ac:dyDescent="0.5">
      <c r="N507" s="16"/>
    </row>
    <row r="508" spans="1:22" ht="31.5" x14ac:dyDescent="0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6"/>
      <c r="O508" s="3"/>
      <c r="P508" s="3"/>
      <c r="Q508" s="3"/>
      <c r="R508" s="3"/>
      <c r="S508" s="3"/>
      <c r="T508" s="3"/>
      <c r="U508" s="3"/>
      <c r="V508" s="3"/>
    </row>
    <row r="509" spans="1:22" ht="31.5" x14ac:dyDescent="0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6"/>
      <c r="O509" s="3"/>
      <c r="P509" s="3"/>
      <c r="Q509" s="3"/>
      <c r="R509" s="3"/>
      <c r="S509" s="3"/>
      <c r="T509" s="3"/>
      <c r="U509" s="3"/>
      <c r="V509" s="3"/>
    </row>
    <row r="510" spans="1:22" s="4" customFormat="1" ht="31.5" x14ac:dyDescent="0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6"/>
      <c r="O510" s="3"/>
      <c r="P510" s="3"/>
      <c r="Q510" s="3"/>
      <c r="R510" s="3"/>
      <c r="S510" s="3"/>
      <c r="T510" s="3"/>
      <c r="U510" s="3"/>
      <c r="V510" s="3"/>
    </row>
    <row r="511" spans="1:22" s="4" customFormat="1" ht="31.5" x14ac:dyDescent="0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6"/>
      <c r="O511" s="3"/>
      <c r="P511" s="3"/>
      <c r="Q511" s="3"/>
      <c r="R511" s="3"/>
      <c r="S511" s="3"/>
      <c r="T511" s="3"/>
      <c r="U511" s="3"/>
      <c r="V511" s="3"/>
    </row>
    <row r="512" spans="1:22" s="4" customFormat="1" ht="31.5" x14ac:dyDescent="0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6"/>
      <c r="O512" s="3"/>
      <c r="P512" s="3"/>
      <c r="Q512" s="3"/>
      <c r="R512" s="3"/>
      <c r="S512" s="3"/>
      <c r="T512" s="3"/>
      <c r="U512" s="3"/>
      <c r="V512" s="3"/>
    </row>
    <row r="513" spans="1:22" s="4" customFormat="1" ht="31.5" x14ac:dyDescent="0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6"/>
      <c r="O513" s="3"/>
      <c r="P513" s="3"/>
      <c r="Q513" s="3"/>
      <c r="R513" s="3"/>
      <c r="S513" s="3"/>
      <c r="T513" s="3"/>
      <c r="U513" s="3"/>
      <c r="V513" s="3"/>
    </row>
    <row r="514" spans="1:22" s="4" customFormat="1" ht="31.5" x14ac:dyDescent="0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6"/>
      <c r="O514" s="3"/>
      <c r="P514" s="3"/>
      <c r="Q514" s="3"/>
      <c r="R514" s="3"/>
      <c r="S514" s="3"/>
      <c r="T514" s="3"/>
      <c r="U514" s="3"/>
      <c r="V514" s="3"/>
    </row>
    <row r="515" spans="1:22" s="4" customFormat="1" ht="31.5" x14ac:dyDescent="0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6"/>
      <c r="O515" s="3"/>
      <c r="P515" s="3"/>
      <c r="Q515" s="3"/>
      <c r="R515" s="3"/>
      <c r="S515" s="3"/>
      <c r="T515" s="3"/>
      <c r="U515" s="3"/>
      <c r="V515" s="3"/>
    </row>
    <row r="516" spans="1:22" s="4" customFormat="1" ht="31.5" x14ac:dyDescent="0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6"/>
      <c r="O516" s="3"/>
      <c r="P516" s="3"/>
      <c r="Q516" s="3"/>
      <c r="R516" s="3"/>
      <c r="S516" s="3"/>
      <c r="T516" s="3"/>
      <c r="U516" s="3"/>
      <c r="V516" s="3"/>
    </row>
    <row r="517" spans="1:22" s="4" customFormat="1" ht="31.5" x14ac:dyDescent="0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6"/>
      <c r="O517" s="3"/>
      <c r="P517" s="3"/>
      <c r="Q517" s="3"/>
      <c r="R517" s="3"/>
      <c r="S517" s="3"/>
      <c r="T517" s="3"/>
      <c r="U517" s="3"/>
      <c r="V517" s="3"/>
    </row>
    <row r="518" spans="1:22" s="4" customFormat="1" ht="31.5" x14ac:dyDescent="0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6"/>
      <c r="O518" s="3"/>
      <c r="P518" s="3"/>
      <c r="Q518" s="3"/>
      <c r="R518" s="3"/>
      <c r="S518" s="3"/>
      <c r="T518" s="3"/>
      <c r="U518" s="3"/>
      <c r="V518" s="3"/>
    </row>
    <row r="519" spans="1:22" s="4" customFormat="1" ht="31.5" x14ac:dyDescent="0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6"/>
      <c r="O519" s="3"/>
      <c r="P519" s="3"/>
      <c r="Q519" s="3"/>
      <c r="R519" s="3"/>
      <c r="S519" s="3"/>
      <c r="T519" s="3"/>
      <c r="U519" s="3"/>
      <c r="V519" s="3"/>
    </row>
    <row r="520" spans="1:22" s="4" customFormat="1" ht="31.5" x14ac:dyDescent="0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6"/>
      <c r="O520" s="3"/>
      <c r="P520" s="3"/>
      <c r="Q520" s="3"/>
      <c r="R520" s="3"/>
      <c r="S520" s="3"/>
      <c r="T520" s="3"/>
      <c r="U520" s="3"/>
      <c r="V520" s="3"/>
    </row>
    <row r="521" spans="1:22" s="4" customFormat="1" ht="31.5" x14ac:dyDescent="0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6"/>
      <c r="O521" s="3"/>
      <c r="P521" s="3"/>
      <c r="Q521" s="3"/>
      <c r="R521" s="3"/>
      <c r="S521" s="3"/>
      <c r="T521" s="3"/>
      <c r="U521" s="3"/>
      <c r="V521" s="3"/>
    </row>
    <row r="522" spans="1:22" s="4" customFormat="1" ht="31.5" x14ac:dyDescent="0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6"/>
      <c r="O522" s="3"/>
      <c r="P522" s="3"/>
      <c r="Q522" s="3"/>
      <c r="R522" s="3"/>
      <c r="S522" s="3"/>
      <c r="T522" s="3"/>
      <c r="U522" s="3"/>
      <c r="V522" s="3"/>
    </row>
    <row r="523" spans="1:22" s="4" customFormat="1" ht="31.5" x14ac:dyDescent="0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6"/>
      <c r="O523" s="3"/>
      <c r="P523" s="3"/>
      <c r="Q523" s="3"/>
      <c r="R523" s="3"/>
      <c r="S523" s="3"/>
      <c r="T523" s="3"/>
      <c r="U523" s="3"/>
      <c r="V523" s="3"/>
    </row>
    <row r="524" spans="1:22" s="4" customFormat="1" ht="31.5" x14ac:dyDescent="0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6"/>
      <c r="O524" s="3"/>
      <c r="P524" s="3"/>
      <c r="Q524" s="3"/>
      <c r="R524" s="3"/>
      <c r="S524" s="3"/>
      <c r="T524" s="3"/>
      <c r="U524" s="3"/>
      <c r="V524" s="3"/>
    </row>
    <row r="525" spans="1:22" s="4" customFormat="1" ht="31.5" x14ac:dyDescent="0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6"/>
      <c r="O525" s="3"/>
      <c r="P525" s="3"/>
      <c r="Q525" s="3"/>
      <c r="R525" s="3"/>
      <c r="S525" s="3"/>
      <c r="T525" s="3"/>
      <c r="U525" s="3"/>
      <c r="V525" s="3"/>
    </row>
    <row r="526" spans="1:22" s="4" customFormat="1" ht="31.5" x14ac:dyDescent="0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6"/>
      <c r="O526" s="3"/>
      <c r="P526" s="3"/>
      <c r="Q526" s="3"/>
      <c r="R526" s="3"/>
      <c r="S526" s="3"/>
      <c r="T526" s="3"/>
      <c r="U526" s="3"/>
      <c r="V526" s="3"/>
    </row>
    <row r="527" spans="1:22" s="4" customFormat="1" ht="31.5" x14ac:dyDescent="0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6"/>
      <c r="O527" s="3"/>
      <c r="P527" s="3"/>
      <c r="Q527" s="3"/>
      <c r="R527" s="3"/>
      <c r="S527" s="3"/>
      <c r="T527" s="3"/>
      <c r="U527" s="3"/>
      <c r="V527" s="3"/>
    </row>
    <row r="528" spans="1:22" s="4" customFormat="1" ht="31.5" x14ac:dyDescent="0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6"/>
      <c r="O528" s="3"/>
      <c r="P528" s="3"/>
      <c r="Q528" s="3"/>
      <c r="R528" s="3"/>
      <c r="S528" s="3"/>
      <c r="T528" s="3"/>
      <c r="U528" s="3"/>
      <c r="V528" s="3"/>
    </row>
    <row r="529" spans="1:22" s="4" customFormat="1" ht="31.5" x14ac:dyDescent="0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6"/>
      <c r="O529" s="3"/>
      <c r="P529" s="3"/>
      <c r="Q529" s="3"/>
      <c r="R529" s="3"/>
      <c r="S529" s="3"/>
      <c r="T529" s="3"/>
      <c r="U529" s="3"/>
      <c r="V529" s="3"/>
    </row>
    <row r="530" spans="1:22" s="4" customFormat="1" ht="31.5" x14ac:dyDescent="0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6"/>
      <c r="O530" s="3"/>
      <c r="P530" s="3"/>
      <c r="Q530" s="3"/>
      <c r="R530" s="3"/>
      <c r="S530" s="3"/>
      <c r="T530" s="3"/>
      <c r="U530" s="3"/>
      <c r="V530" s="3"/>
    </row>
    <row r="531" spans="1:22" s="4" customFormat="1" ht="31.5" x14ac:dyDescent="0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6"/>
      <c r="O531" s="3"/>
      <c r="P531" s="3"/>
      <c r="Q531" s="3"/>
      <c r="R531" s="3"/>
      <c r="S531" s="3"/>
      <c r="T531" s="3"/>
      <c r="U531" s="3"/>
      <c r="V531" s="3"/>
    </row>
    <row r="532" spans="1:22" s="4" customFormat="1" ht="31.5" x14ac:dyDescent="0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6"/>
      <c r="O532" s="3"/>
      <c r="P532" s="3"/>
      <c r="Q532" s="3"/>
      <c r="R532" s="3"/>
      <c r="S532" s="3"/>
      <c r="T532" s="3"/>
      <c r="U532" s="3"/>
      <c r="V532" s="3"/>
    </row>
    <row r="533" spans="1:22" s="4" customFormat="1" ht="31.5" x14ac:dyDescent="0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6"/>
      <c r="O533" s="3"/>
      <c r="P533" s="3"/>
      <c r="Q533" s="3"/>
      <c r="R533" s="3"/>
      <c r="S533" s="3"/>
      <c r="T533" s="3"/>
      <c r="U533" s="3"/>
      <c r="V533" s="3"/>
    </row>
    <row r="534" spans="1:22" s="4" customFormat="1" ht="31.5" x14ac:dyDescent="0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6"/>
      <c r="O534" s="3"/>
      <c r="P534" s="3"/>
      <c r="Q534" s="3"/>
      <c r="R534" s="3"/>
      <c r="S534" s="3"/>
      <c r="T534" s="3"/>
      <c r="U534" s="3"/>
      <c r="V534" s="3"/>
    </row>
    <row r="535" spans="1:22" s="4" customFormat="1" ht="31.5" x14ac:dyDescent="0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6"/>
      <c r="O535" s="3"/>
      <c r="P535" s="3"/>
      <c r="Q535" s="3"/>
      <c r="R535" s="3"/>
      <c r="S535" s="3"/>
      <c r="T535" s="3"/>
      <c r="U535" s="3"/>
      <c r="V535" s="3"/>
    </row>
    <row r="536" spans="1:22" s="4" customFormat="1" ht="31.5" x14ac:dyDescent="0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6"/>
      <c r="O536" s="3"/>
      <c r="P536" s="3"/>
      <c r="Q536" s="3"/>
      <c r="R536" s="3"/>
      <c r="S536" s="3"/>
      <c r="T536" s="3"/>
      <c r="U536" s="3"/>
      <c r="V536" s="3"/>
    </row>
    <row r="537" spans="1:22" s="4" customFormat="1" ht="31.5" x14ac:dyDescent="0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6"/>
      <c r="O537" s="3"/>
      <c r="P537" s="3"/>
      <c r="Q537" s="3"/>
      <c r="R537" s="3"/>
      <c r="S537" s="3"/>
      <c r="T537" s="3"/>
      <c r="U537" s="3"/>
      <c r="V537" s="3"/>
    </row>
    <row r="538" spans="1:22" s="4" customFormat="1" ht="31.5" x14ac:dyDescent="0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6"/>
      <c r="O538" s="3"/>
      <c r="P538" s="3"/>
      <c r="Q538" s="3"/>
      <c r="R538" s="3"/>
      <c r="S538" s="3"/>
      <c r="T538" s="3"/>
      <c r="U538" s="3"/>
      <c r="V538" s="3"/>
    </row>
    <row r="539" spans="1:22" s="4" customFormat="1" ht="31.5" x14ac:dyDescent="0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6"/>
      <c r="O539" s="3"/>
      <c r="P539" s="3"/>
      <c r="Q539" s="3"/>
      <c r="R539" s="3"/>
      <c r="S539" s="3"/>
      <c r="T539" s="3"/>
      <c r="U539" s="3"/>
      <c r="V539" s="3"/>
    </row>
    <row r="540" spans="1:22" s="4" customFormat="1" ht="31.5" x14ac:dyDescent="0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6"/>
      <c r="O540" s="3"/>
      <c r="P540" s="3"/>
      <c r="Q540" s="3"/>
      <c r="R540" s="3"/>
      <c r="S540" s="3"/>
      <c r="T540" s="3"/>
      <c r="U540" s="3"/>
      <c r="V540" s="3"/>
    </row>
    <row r="541" spans="1:22" s="4" customFormat="1" ht="31.5" x14ac:dyDescent="0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6"/>
      <c r="O541" s="3"/>
      <c r="P541" s="3"/>
      <c r="Q541" s="3"/>
      <c r="R541" s="3"/>
      <c r="S541" s="3"/>
      <c r="T541" s="3"/>
      <c r="U541" s="3"/>
      <c r="V541" s="3"/>
    </row>
    <row r="542" spans="1:22" s="4" customFormat="1" ht="31.5" x14ac:dyDescent="0.5">
      <c r="A542" s="3"/>
      <c r="B542" s="3"/>
      <c r="C542" s="3"/>
      <c r="D542" s="3"/>
      <c r="E542" s="3"/>
      <c r="F542" s="3"/>
      <c r="G542" s="3"/>
      <c r="H542" s="3"/>
      <c r="I542" s="3"/>
      <c r="J542" s="13"/>
      <c r="K542" s="3"/>
      <c r="L542" s="13"/>
      <c r="M542" s="3"/>
      <c r="N542" s="16"/>
      <c r="O542" s="3"/>
      <c r="P542" s="3"/>
      <c r="Q542" s="3"/>
      <c r="R542" s="3"/>
      <c r="S542" s="3"/>
      <c r="T542" s="3"/>
      <c r="U542" s="3"/>
      <c r="V542" s="3"/>
    </row>
    <row r="543" spans="1:22" s="4" customFormat="1" ht="31.5" x14ac:dyDescent="0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6"/>
      <c r="O543" s="3"/>
      <c r="P543" s="3"/>
      <c r="Q543" s="3"/>
      <c r="R543" s="3"/>
      <c r="S543" s="3"/>
      <c r="T543" s="3"/>
      <c r="U543" s="3"/>
      <c r="V543" s="3"/>
    </row>
    <row r="544" spans="1:22" s="4" customFormat="1" ht="31.5" x14ac:dyDescent="0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6"/>
      <c r="O544" s="3"/>
      <c r="P544" s="3"/>
      <c r="Q544" s="3"/>
      <c r="R544" s="3"/>
      <c r="S544" s="3"/>
      <c r="T544" s="3"/>
      <c r="U544" s="3"/>
      <c r="V544" s="3"/>
    </row>
    <row r="545" spans="1:22" s="4" customFormat="1" ht="31.5" x14ac:dyDescent="0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6"/>
      <c r="O545" s="3"/>
      <c r="P545" s="3"/>
      <c r="Q545" s="3"/>
      <c r="R545" s="3"/>
      <c r="S545" s="3"/>
      <c r="T545" s="3"/>
      <c r="U545" s="3"/>
      <c r="V545" s="3"/>
    </row>
    <row r="546" spans="1:22" s="3" customFormat="1" ht="31.5" x14ac:dyDescent="0.5">
      <c r="N546" s="16"/>
    </row>
    <row r="547" spans="1:22" s="3" customFormat="1" ht="31.5" x14ac:dyDescent="0.5">
      <c r="N547" s="16"/>
    </row>
    <row r="548" spans="1:22" s="3" customFormat="1" ht="31.5" x14ac:dyDescent="0.5">
      <c r="N548" s="16"/>
    </row>
    <row r="549" spans="1:22" s="3" customFormat="1" ht="31.5" x14ac:dyDescent="0.5">
      <c r="N549" s="16"/>
    </row>
    <row r="550" spans="1:22" s="3" customFormat="1" ht="31.5" x14ac:dyDescent="0.5">
      <c r="N550" s="16"/>
    </row>
    <row r="551" spans="1:22" s="3" customFormat="1" ht="31.5" x14ac:dyDescent="0.5">
      <c r="N551" s="16"/>
    </row>
    <row r="552" spans="1:22" s="3" customFormat="1" ht="31.5" x14ac:dyDescent="0.5">
      <c r="L552" s="12"/>
      <c r="N552" s="16"/>
    </row>
    <row r="553" spans="1:22" s="3" customFormat="1" ht="31.5" x14ac:dyDescent="0.5">
      <c r="N553" s="16"/>
    </row>
    <row r="554" spans="1:22" s="3" customFormat="1" ht="31.5" x14ac:dyDescent="0.5">
      <c r="N554" s="16"/>
    </row>
    <row r="555" spans="1:22" s="3" customFormat="1" ht="31.5" x14ac:dyDescent="0.5">
      <c r="N555" s="16"/>
    </row>
    <row r="556" spans="1:22" s="3" customFormat="1" ht="31.5" x14ac:dyDescent="0.5">
      <c r="N556" s="16"/>
    </row>
    <row r="557" spans="1:22" s="3" customFormat="1" ht="31.5" x14ac:dyDescent="0.5">
      <c r="N557" s="16"/>
    </row>
    <row r="558" spans="1:22" s="3" customFormat="1" ht="31.5" x14ac:dyDescent="0.5">
      <c r="N558" s="16"/>
    </row>
    <row r="559" spans="1:22" s="3" customFormat="1" ht="31.5" x14ac:dyDescent="0.5">
      <c r="N559" s="16"/>
    </row>
    <row r="560" spans="1:22" s="3" customFormat="1" ht="31.5" x14ac:dyDescent="0.5">
      <c r="N560" s="16"/>
    </row>
    <row r="561" spans="12:14" s="3" customFormat="1" ht="31.5" x14ac:dyDescent="0.5">
      <c r="N561" s="16"/>
    </row>
    <row r="562" spans="12:14" s="3" customFormat="1" ht="31.5" x14ac:dyDescent="0.5">
      <c r="N562" s="16"/>
    </row>
    <row r="563" spans="12:14" s="3" customFormat="1" ht="31.5" x14ac:dyDescent="0.5">
      <c r="N563" s="16"/>
    </row>
    <row r="564" spans="12:14" s="3" customFormat="1" ht="31.5" x14ac:dyDescent="0.5">
      <c r="N564" s="16"/>
    </row>
    <row r="565" spans="12:14" s="3" customFormat="1" ht="31.5" x14ac:dyDescent="0.5">
      <c r="L565" s="11"/>
      <c r="N565" s="16"/>
    </row>
    <row r="566" spans="12:14" s="3" customFormat="1" ht="31.5" x14ac:dyDescent="0.5">
      <c r="N566" s="16"/>
    </row>
    <row r="567" spans="12:14" s="3" customFormat="1" ht="31.5" x14ac:dyDescent="0.5">
      <c r="N567" s="16"/>
    </row>
    <row r="568" spans="12:14" s="3" customFormat="1" ht="31.5" x14ac:dyDescent="0.5">
      <c r="N568" s="16"/>
    </row>
    <row r="569" spans="12:14" s="3" customFormat="1" ht="31.5" x14ac:dyDescent="0.5">
      <c r="N569" s="16"/>
    </row>
    <row r="570" spans="12:14" s="3" customFormat="1" ht="31.5" x14ac:dyDescent="0.5">
      <c r="N570" s="16"/>
    </row>
    <row r="571" spans="12:14" s="3" customFormat="1" ht="31.5" x14ac:dyDescent="0.5">
      <c r="N571" s="16"/>
    </row>
    <row r="572" spans="12:14" s="3" customFormat="1" ht="31.5" x14ac:dyDescent="0.5">
      <c r="N572" s="16"/>
    </row>
    <row r="573" spans="12:14" s="3" customFormat="1" ht="31.5" x14ac:dyDescent="0.5">
      <c r="N573" s="16"/>
    </row>
    <row r="574" spans="12:14" s="3" customFormat="1" ht="31.5" x14ac:dyDescent="0.5">
      <c r="N574" s="16"/>
    </row>
    <row r="575" spans="12:14" s="3" customFormat="1" ht="31.5" x14ac:dyDescent="0.5">
      <c r="N575" s="16"/>
    </row>
    <row r="576" spans="12:14" s="3" customFormat="1" ht="31.5" x14ac:dyDescent="0.5">
      <c r="N576" s="16"/>
    </row>
    <row r="577" spans="1:22" s="4" customFormat="1" ht="31.5" x14ac:dyDescent="0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6"/>
      <c r="O577" s="3"/>
      <c r="P577" s="3"/>
      <c r="Q577" s="3"/>
      <c r="R577" s="3"/>
      <c r="S577" s="3"/>
      <c r="T577" s="3"/>
      <c r="U577" s="3"/>
      <c r="V577" s="3"/>
    </row>
    <row r="578" spans="1:22" s="4" customFormat="1" ht="31.5" x14ac:dyDescent="0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6"/>
      <c r="O578" s="3"/>
      <c r="P578" s="3"/>
      <c r="Q578" s="3"/>
      <c r="R578" s="3"/>
      <c r="S578" s="3"/>
      <c r="T578" s="3"/>
      <c r="U578" s="3"/>
      <c r="V578" s="3"/>
    </row>
    <row r="579" spans="1:22" s="4" customFormat="1" ht="31.5" x14ac:dyDescent="0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6"/>
      <c r="O579" s="3"/>
      <c r="P579" s="3"/>
      <c r="Q579" s="3"/>
      <c r="R579" s="3"/>
      <c r="S579" s="3"/>
      <c r="T579" s="3"/>
      <c r="U579" s="3"/>
      <c r="V579" s="3"/>
    </row>
    <row r="580" spans="1:22" s="3" customFormat="1" ht="31.5" x14ac:dyDescent="0.5">
      <c r="N580" s="16"/>
    </row>
    <row r="581" spans="1:22" s="3" customFormat="1" ht="31.5" x14ac:dyDescent="0.5">
      <c r="N581" s="16"/>
    </row>
    <row r="582" spans="1:22" s="3" customFormat="1" ht="31.5" x14ac:dyDescent="0.5">
      <c r="N582" s="16"/>
    </row>
    <row r="583" spans="1:22" s="3" customFormat="1" ht="31.5" x14ac:dyDescent="0.5">
      <c r="N583" s="16"/>
    </row>
    <row r="584" spans="1:22" s="3" customFormat="1" ht="31.5" x14ac:dyDescent="0.5">
      <c r="N584" s="16"/>
    </row>
    <row r="585" spans="1:22" s="3" customFormat="1" ht="31.5" x14ac:dyDescent="0.5">
      <c r="N585" s="16"/>
    </row>
    <row r="586" spans="1:22" s="3" customFormat="1" ht="31.5" x14ac:dyDescent="0.5">
      <c r="N586" s="16"/>
    </row>
    <row r="587" spans="1:22" s="3" customFormat="1" ht="31.5" x14ac:dyDescent="0.5">
      <c r="N587" s="16"/>
    </row>
    <row r="588" spans="1:22" s="3" customFormat="1" ht="31.5" x14ac:dyDescent="0.5">
      <c r="N588" s="16"/>
    </row>
    <row r="589" spans="1:22" s="3" customFormat="1" ht="31.5" x14ac:dyDescent="0.5">
      <c r="N589" s="16"/>
    </row>
    <row r="590" spans="1:22" s="3" customFormat="1" ht="31.5" x14ac:dyDescent="0.5">
      <c r="N590" s="16"/>
    </row>
    <row r="591" spans="1:22" s="3" customFormat="1" ht="31.5" x14ac:dyDescent="0.5">
      <c r="N591" s="16"/>
    </row>
    <row r="592" spans="1:22" s="3" customFormat="1" ht="31.5" x14ac:dyDescent="0.5">
      <c r="N592" s="16"/>
    </row>
    <row r="593" spans="1:22" s="3" customFormat="1" ht="31.5" x14ac:dyDescent="0.5">
      <c r="N593" s="16"/>
    </row>
    <row r="594" spans="1:22" s="3" customFormat="1" ht="31.5" x14ac:dyDescent="0.5">
      <c r="N594" s="16"/>
    </row>
    <row r="595" spans="1:22" s="3" customFormat="1" ht="31.5" x14ac:dyDescent="0.5">
      <c r="N595" s="16"/>
    </row>
    <row r="596" spans="1:22" s="3" customFormat="1" ht="31.5" x14ac:dyDescent="0.5">
      <c r="N596" s="16"/>
    </row>
    <row r="597" spans="1:22" s="3" customFormat="1" ht="31.5" x14ac:dyDescent="0.5">
      <c r="N597" s="16"/>
    </row>
    <row r="598" spans="1:22" s="3" customFormat="1" ht="31.5" x14ac:dyDescent="0.5">
      <c r="N598" s="16"/>
    </row>
    <row r="599" spans="1:22" s="3" customFormat="1" ht="31.5" x14ac:dyDescent="0.5">
      <c r="N599" s="16"/>
    </row>
    <row r="600" spans="1:22" s="3" customFormat="1" ht="31.5" x14ac:dyDescent="0.5">
      <c r="N600" s="16"/>
    </row>
    <row r="601" spans="1:22" s="3" customFormat="1" ht="31.5" x14ac:dyDescent="0.5">
      <c r="N601" s="16"/>
    </row>
    <row r="602" spans="1:22" s="3" customFormat="1" ht="31.5" x14ac:dyDescent="0.5">
      <c r="N602" s="16"/>
    </row>
    <row r="603" spans="1:22" s="3" customFormat="1" ht="31.5" x14ac:dyDescent="0.5">
      <c r="N603" s="16"/>
    </row>
    <row r="604" spans="1:22" s="4" customFormat="1" ht="31.5" x14ac:dyDescent="0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6"/>
      <c r="O604" s="3"/>
      <c r="P604" s="3"/>
      <c r="Q604" s="3"/>
      <c r="R604" s="3"/>
      <c r="S604" s="3"/>
      <c r="T604" s="3"/>
      <c r="U604" s="3"/>
      <c r="V604" s="3"/>
    </row>
    <row r="605" spans="1:22" s="4" customFormat="1" ht="31.5" x14ac:dyDescent="0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6"/>
      <c r="O605" s="3"/>
      <c r="P605" s="3"/>
      <c r="Q605" s="3"/>
      <c r="R605" s="3"/>
      <c r="S605" s="3"/>
      <c r="T605" s="3"/>
      <c r="U605" s="3"/>
      <c r="V605" s="3"/>
    </row>
    <row r="606" spans="1:22" s="4" customFormat="1" ht="31.5" x14ac:dyDescent="0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6"/>
      <c r="O606" s="3"/>
      <c r="P606" s="3"/>
      <c r="Q606" s="3"/>
      <c r="R606" s="3"/>
      <c r="S606" s="3"/>
      <c r="T606" s="3"/>
      <c r="U606" s="3"/>
      <c r="V606" s="3"/>
    </row>
    <row r="607" spans="1:22" s="4" customFormat="1" ht="31.5" x14ac:dyDescent="0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12"/>
      <c r="M607" s="3"/>
      <c r="N607" s="16"/>
      <c r="O607" s="3"/>
      <c r="P607" s="3"/>
      <c r="Q607" s="3"/>
      <c r="R607" s="3"/>
      <c r="S607" s="3"/>
      <c r="T607" s="3"/>
      <c r="U607" s="3"/>
      <c r="V607" s="3"/>
    </row>
    <row r="608" spans="1:22" s="4" customFormat="1" ht="31.5" x14ac:dyDescent="0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6"/>
      <c r="O608" s="3"/>
      <c r="P608" s="3"/>
      <c r="Q608" s="3"/>
      <c r="R608" s="3"/>
      <c r="S608" s="3"/>
      <c r="T608" s="3"/>
      <c r="U608" s="3"/>
      <c r="V608" s="3"/>
    </row>
    <row r="609" spans="1:22" s="4" customFormat="1" ht="31.5" x14ac:dyDescent="0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6"/>
      <c r="O609" s="3"/>
      <c r="P609" s="3"/>
      <c r="Q609" s="3"/>
      <c r="R609" s="3"/>
      <c r="S609" s="3"/>
      <c r="T609" s="3"/>
      <c r="U609" s="3"/>
      <c r="V609" s="3"/>
    </row>
    <row r="610" spans="1:22" s="3" customFormat="1" ht="31.5" x14ac:dyDescent="0.5">
      <c r="N610" s="16"/>
    </row>
    <row r="611" spans="1:22" s="3" customFormat="1" ht="31.5" x14ac:dyDescent="0.5">
      <c r="N611" s="16"/>
    </row>
    <row r="612" spans="1:22" s="3" customFormat="1" ht="31.5" x14ac:dyDescent="0.5">
      <c r="N612" s="16"/>
    </row>
    <row r="613" spans="1:22" s="3" customFormat="1" ht="31.5" x14ac:dyDescent="0.5">
      <c r="N613" s="16"/>
    </row>
    <row r="614" spans="1:22" s="3" customFormat="1" ht="31.5" x14ac:dyDescent="0.5">
      <c r="N614" s="16"/>
    </row>
    <row r="615" spans="1:22" s="3" customFormat="1" ht="31.5" x14ac:dyDescent="0.5">
      <c r="N615" s="16"/>
    </row>
    <row r="616" spans="1:22" s="3" customFormat="1" ht="31.5" x14ac:dyDescent="0.5">
      <c r="N616" s="16"/>
    </row>
    <row r="617" spans="1:22" s="3" customFormat="1" ht="31.5" x14ac:dyDescent="0.5">
      <c r="N617" s="16"/>
    </row>
    <row r="618" spans="1:22" s="3" customFormat="1" ht="31.5" x14ac:dyDescent="0.5">
      <c r="N618" s="16"/>
    </row>
    <row r="619" spans="1:22" s="3" customFormat="1" ht="31.5" x14ac:dyDescent="0.5">
      <c r="N619" s="16"/>
    </row>
    <row r="620" spans="1:22" s="3" customFormat="1" ht="31.5" x14ac:dyDescent="0.5">
      <c r="N620" s="16"/>
    </row>
    <row r="621" spans="1:22" s="3" customFormat="1" ht="31.5" x14ac:dyDescent="0.5">
      <c r="N621" s="16"/>
    </row>
    <row r="622" spans="1:22" s="3" customFormat="1" ht="31.5" x14ac:dyDescent="0.5">
      <c r="N622" s="16"/>
    </row>
    <row r="623" spans="1:22" s="3" customFormat="1" ht="31.5" x14ac:dyDescent="0.5">
      <c r="N623" s="16"/>
    </row>
    <row r="624" spans="1:22" s="3" customFormat="1" ht="31.5" x14ac:dyDescent="0.5">
      <c r="N624" s="16"/>
    </row>
    <row r="625" spans="12:14" s="3" customFormat="1" ht="31.5" x14ac:dyDescent="0.5">
      <c r="N625" s="16"/>
    </row>
    <row r="626" spans="12:14" s="3" customFormat="1" ht="31.5" x14ac:dyDescent="0.5">
      <c r="N626" s="16"/>
    </row>
    <row r="627" spans="12:14" s="3" customFormat="1" ht="31.5" x14ac:dyDescent="0.5">
      <c r="N627" s="16"/>
    </row>
    <row r="628" spans="12:14" s="3" customFormat="1" ht="31.5" x14ac:dyDescent="0.5">
      <c r="N628" s="16"/>
    </row>
    <row r="629" spans="12:14" s="3" customFormat="1" ht="31.5" x14ac:dyDescent="0.5">
      <c r="L629" s="11"/>
      <c r="N629" s="16"/>
    </row>
    <row r="630" spans="12:14" s="3" customFormat="1" ht="31.5" x14ac:dyDescent="0.5">
      <c r="N630" s="16"/>
    </row>
    <row r="631" spans="12:14" s="3" customFormat="1" ht="31.5" x14ac:dyDescent="0.5">
      <c r="N631" s="16"/>
    </row>
    <row r="632" spans="12:14" s="3" customFormat="1" ht="31.5" x14ac:dyDescent="0.5">
      <c r="N632" s="16"/>
    </row>
    <row r="633" spans="12:14" s="3" customFormat="1" ht="31.5" x14ac:dyDescent="0.5">
      <c r="N633" s="16"/>
    </row>
    <row r="634" spans="12:14" s="3" customFormat="1" ht="31.5" x14ac:dyDescent="0.5">
      <c r="N634" s="16"/>
    </row>
    <row r="635" spans="12:14" s="3" customFormat="1" ht="31.5" x14ac:dyDescent="0.5">
      <c r="N635" s="16"/>
    </row>
    <row r="636" spans="12:14" s="3" customFormat="1" ht="31.5" x14ac:dyDescent="0.5">
      <c r="N636" s="16"/>
    </row>
    <row r="637" spans="12:14" s="3" customFormat="1" ht="31.5" x14ac:dyDescent="0.5">
      <c r="N637" s="16"/>
    </row>
    <row r="638" spans="12:14" s="3" customFormat="1" ht="31.5" x14ac:dyDescent="0.5">
      <c r="N638" s="16"/>
    </row>
    <row r="639" spans="12:14" s="3" customFormat="1" ht="31.5" x14ac:dyDescent="0.5">
      <c r="N639" s="16"/>
    </row>
    <row r="640" spans="12:14" s="3" customFormat="1" ht="31.5" x14ac:dyDescent="0.5">
      <c r="N640" s="16"/>
    </row>
    <row r="641" spans="1:22" s="3" customFormat="1" ht="31.5" x14ac:dyDescent="0.5">
      <c r="N641" s="16"/>
    </row>
    <row r="642" spans="1:22" s="3" customFormat="1" ht="31.5" x14ac:dyDescent="0.5">
      <c r="N642" s="16"/>
    </row>
    <row r="643" spans="1:22" s="4" customFormat="1" ht="31.5" x14ac:dyDescent="0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6"/>
      <c r="O643" s="3"/>
      <c r="P643" s="3"/>
      <c r="Q643" s="3"/>
      <c r="R643" s="3"/>
      <c r="S643" s="3"/>
      <c r="T643" s="3"/>
      <c r="U643" s="3"/>
      <c r="V643" s="3"/>
    </row>
    <row r="644" spans="1:22" s="4" customFormat="1" ht="31.5" x14ac:dyDescent="0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6"/>
      <c r="O644" s="3"/>
      <c r="P644" s="3"/>
      <c r="Q644" s="3"/>
      <c r="R644" s="3"/>
      <c r="S644" s="3"/>
      <c r="T644" s="3"/>
      <c r="U644" s="3"/>
      <c r="V644" s="3"/>
    </row>
    <row r="645" spans="1:22" s="3" customFormat="1" ht="31.5" x14ac:dyDescent="0.5">
      <c r="N645" s="16"/>
    </row>
    <row r="646" spans="1:22" s="3" customFormat="1" ht="31.5" x14ac:dyDescent="0.5">
      <c r="N646" s="16"/>
    </row>
    <row r="647" spans="1:22" s="3" customFormat="1" ht="31.5" x14ac:dyDescent="0.5">
      <c r="N647" s="16"/>
    </row>
    <row r="648" spans="1:22" s="3" customFormat="1" ht="31.5" x14ac:dyDescent="0.5">
      <c r="N648" s="16"/>
    </row>
    <row r="649" spans="1:22" s="3" customFormat="1" ht="31.5" x14ac:dyDescent="0.5">
      <c r="N649" s="16"/>
    </row>
    <row r="650" spans="1:22" s="3" customFormat="1" ht="31.5" x14ac:dyDescent="0.5">
      <c r="N650" s="16"/>
    </row>
    <row r="651" spans="1:22" s="3" customFormat="1" ht="31.5" x14ac:dyDescent="0.5">
      <c r="N651" s="16"/>
    </row>
    <row r="652" spans="1:22" s="3" customFormat="1" ht="31.5" x14ac:dyDescent="0.5">
      <c r="N652" s="16"/>
    </row>
    <row r="653" spans="1:22" s="3" customFormat="1" ht="31.5" x14ac:dyDescent="0.5">
      <c r="N653" s="16"/>
    </row>
    <row r="654" spans="1:22" s="3" customFormat="1" ht="31.5" x14ac:dyDescent="0.5">
      <c r="N654" s="16"/>
    </row>
    <row r="655" spans="1:22" s="3" customFormat="1" ht="31.5" x14ac:dyDescent="0.5">
      <c r="N655" s="16"/>
    </row>
    <row r="656" spans="1:22" s="3" customFormat="1" ht="31.5" x14ac:dyDescent="0.5">
      <c r="N656" s="16"/>
    </row>
    <row r="657" spans="1:22" s="3" customFormat="1" ht="31.5" x14ac:dyDescent="0.5">
      <c r="N657" s="16"/>
    </row>
    <row r="658" spans="1:22" s="3" customFormat="1" ht="31.5" x14ac:dyDescent="0.5">
      <c r="N658" s="16"/>
    </row>
    <row r="659" spans="1:22" s="3" customFormat="1" ht="31.5" x14ac:dyDescent="0.5">
      <c r="N659" s="16"/>
    </row>
    <row r="660" spans="1:22" s="3" customFormat="1" ht="31.5" x14ac:dyDescent="0.5">
      <c r="N660" s="16"/>
    </row>
    <row r="661" spans="1:22" s="3" customFormat="1" ht="31.5" x14ac:dyDescent="0.5">
      <c r="N661" s="16"/>
    </row>
    <row r="662" spans="1:22" s="3" customFormat="1" ht="31.5" x14ac:dyDescent="0.5">
      <c r="N662" s="16"/>
    </row>
    <row r="663" spans="1:22" s="3" customFormat="1" ht="31.5" x14ac:dyDescent="0.5">
      <c r="N663" s="16"/>
    </row>
    <row r="664" spans="1:22" s="3" customFormat="1" ht="31.5" x14ac:dyDescent="0.5">
      <c r="N664" s="16"/>
    </row>
    <row r="665" spans="1:22" s="4" customFormat="1" ht="31.5" x14ac:dyDescent="0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6"/>
      <c r="O665" s="3"/>
      <c r="P665" s="3"/>
      <c r="Q665" s="3"/>
      <c r="R665" s="3"/>
      <c r="S665" s="3"/>
      <c r="T665" s="3"/>
      <c r="U665" s="3"/>
      <c r="V665" s="3"/>
    </row>
    <row r="666" spans="1:22" s="4" customFormat="1" ht="31.5" x14ac:dyDescent="0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6"/>
      <c r="O666" s="3"/>
      <c r="P666" s="3"/>
      <c r="Q666" s="3"/>
      <c r="R666" s="3"/>
      <c r="S666" s="3"/>
      <c r="T666" s="3"/>
      <c r="U666" s="3"/>
      <c r="V666" s="3"/>
    </row>
    <row r="667" spans="1:22" s="3" customFormat="1" ht="31.5" x14ac:dyDescent="0.5">
      <c r="N667" s="16"/>
    </row>
    <row r="668" spans="1:22" s="3" customFormat="1" ht="31.5" x14ac:dyDescent="0.5">
      <c r="N668" s="16"/>
    </row>
    <row r="669" spans="1:22" s="3" customFormat="1" ht="31.5" x14ac:dyDescent="0.5">
      <c r="N669" s="16"/>
    </row>
    <row r="670" spans="1:22" s="3" customFormat="1" ht="31.5" x14ac:dyDescent="0.5">
      <c r="N670" s="16"/>
    </row>
    <row r="671" spans="1:22" s="3" customFormat="1" ht="31.5" x14ac:dyDescent="0.5">
      <c r="N671" s="16"/>
    </row>
    <row r="672" spans="1:22" s="3" customFormat="1" ht="31.5" x14ac:dyDescent="0.5">
      <c r="N672" s="16"/>
    </row>
    <row r="673" spans="1:22" s="3" customFormat="1" ht="31.5" x14ac:dyDescent="0.5">
      <c r="N673" s="16"/>
    </row>
    <row r="674" spans="1:22" s="3" customFormat="1" ht="31.5" x14ac:dyDescent="0.5">
      <c r="N674" s="16"/>
    </row>
    <row r="675" spans="1:22" s="3" customFormat="1" ht="31.5" x14ac:dyDescent="0.5">
      <c r="N675" s="16"/>
    </row>
    <row r="676" spans="1:22" s="3" customFormat="1" ht="31.5" x14ac:dyDescent="0.5">
      <c r="N676" s="16"/>
    </row>
    <row r="677" spans="1:22" s="3" customFormat="1" ht="31.5" x14ac:dyDescent="0.5">
      <c r="N677" s="16"/>
    </row>
    <row r="678" spans="1:22" s="3" customFormat="1" ht="31.5" x14ac:dyDescent="0.5">
      <c r="N678" s="16"/>
    </row>
    <row r="679" spans="1:22" s="3" customFormat="1" ht="31.5" x14ac:dyDescent="0.5">
      <c r="N679" s="16"/>
    </row>
    <row r="680" spans="1:22" s="3" customFormat="1" ht="31.5" x14ac:dyDescent="0.5">
      <c r="N680" s="16"/>
    </row>
    <row r="681" spans="1:22" s="3" customFormat="1" ht="31.5" x14ac:dyDescent="0.5">
      <c r="M681" s="12"/>
      <c r="N681" s="16"/>
    </row>
    <row r="682" spans="1:22" s="3" customFormat="1" ht="31.5" x14ac:dyDescent="0.5">
      <c r="N682" s="16"/>
    </row>
    <row r="683" spans="1:22" s="3" customFormat="1" ht="31.5" x14ac:dyDescent="0.5">
      <c r="N683" s="16"/>
    </row>
    <row r="684" spans="1:22" s="3" customFormat="1" ht="31.5" x14ac:dyDescent="0.5">
      <c r="N684" s="16"/>
    </row>
    <row r="685" spans="1:22" s="3" customFormat="1" ht="31.5" x14ac:dyDescent="0.5">
      <c r="N685" s="16"/>
    </row>
    <row r="686" spans="1:22" s="4" customFormat="1" ht="31.5" x14ac:dyDescent="0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6"/>
      <c r="O686" s="3"/>
      <c r="P686" s="3"/>
      <c r="Q686" s="3"/>
      <c r="R686" s="3"/>
      <c r="S686" s="3"/>
      <c r="T686" s="3"/>
      <c r="U686" s="3"/>
      <c r="V686" s="3"/>
    </row>
    <row r="687" spans="1:22" s="4" customFormat="1" ht="31.5" x14ac:dyDescent="0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6"/>
      <c r="O687" s="3"/>
      <c r="P687" s="3"/>
      <c r="Q687" s="3"/>
      <c r="R687" s="3"/>
      <c r="S687" s="3"/>
      <c r="T687" s="3"/>
      <c r="U687" s="3"/>
      <c r="V687" s="3"/>
    </row>
    <row r="688" spans="1:22" s="4" customFormat="1" ht="31.5" x14ac:dyDescent="0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6"/>
      <c r="O688" s="3"/>
      <c r="P688" s="3"/>
      <c r="Q688" s="3"/>
      <c r="R688" s="3"/>
      <c r="S688" s="3"/>
      <c r="T688" s="3"/>
      <c r="U688" s="3"/>
      <c r="V688" s="3"/>
    </row>
    <row r="689" spans="1:22" s="4" customFormat="1" ht="31.5" x14ac:dyDescent="0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6"/>
      <c r="O689" s="3"/>
      <c r="P689" s="3"/>
      <c r="Q689" s="3"/>
      <c r="R689" s="3"/>
      <c r="S689" s="3"/>
      <c r="T689" s="3"/>
      <c r="U689" s="3"/>
      <c r="V689" s="3"/>
    </row>
    <row r="690" spans="1:22" s="3" customFormat="1" ht="31.5" x14ac:dyDescent="0.5">
      <c r="N690" s="16"/>
    </row>
    <row r="691" spans="1:22" s="3" customFormat="1" ht="31.5" x14ac:dyDescent="0.5">
      <c r="N691" s="16"/>
    </row>
    <row r="692" spans="1:22" s="3" customFormat="1" ht="31.5" x14ac:dyDescent="0.5">
      <c r="N692" s="16"/>
    </row>
    <row r="693" spans="1:22" s="3" customFormat="1" ht="31.5" x14ac:dyDescent="0.5">
      <c r="N693" s="16"/>
    </row>
    <row r="694" spans="1:22" s="3" customFormat="1" ht="31.5" x14ac:dyDescent="0.5">
      <c r="N694" s="16"/>
    </row>
    <row r="695" spans="1:22" s="3" customFormat="1" ht="31.5" x14ac:dyDescent="0.5">
      <c r="N695" s="16"/>
    </row>
    <row r="696" spans="1:22" s="3" customFormat="1" ht="31.5" x14ac:dyDescent="0.5">
      <c r="N696" s="16"/>
    </row>
    <row r="697" spans="1:22" s="3" customFormat="1" ht="31.5" x14ac:dyDescent="0.5">
      <c r="N697" s="16"/>
    </row>
    <row r="698" spans="1:22" s="3" customFormat="1" ht="31.5" x14ac:dyDescent="0.5">
      <c r="N698" s="16"/>
    </row>
    <row r="699" spans="1:22" s="3" customFormat="1" ht="31.5" x14ac:dyDescent="0.5">
      <c r="N699" s="16"/>
    </row>
    <row r="700" spans="1:22" s="3" customFormat="1" ht="31.5" x14ac:dyDescent="0.5">
      <c r="N700" s="16"/>
    </row>
    <row r="701" spans="1:22" s="3" customFormat="1" ht="31.5" x14ac:dyDescent="0.5">
      <c r="N701" s="16"/>
    </row>
    <row r="702" spans="1:22" s="3" customFormat="1" ht="31.5" x14ac:dyDescent="0.5">
      <c r="N702" s="16"/>
    </row>
    <row r="703" spans="1:22" s="3" customFormat="1" ht="31.5" x14ac:dyDescent="0.5">
      <c r="N703" s="16"/>
    </row>
    <row r="704" spans="1:22" s="3" customFormat="1" ht="31.5" x14ac:dyDescent="0.5">
      <c r="N704" s="16"/>
    </row>
    <row r="705" spans="1:22" s="4" customFormat="1" ht="31.5" x14ac:dyDescent="0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6"/>
      <c r="O705" s="3"/>
      <c r="P705" s="3"/>
      <c r="Q705" s="3"/>
      <c r="R705" s="3"/>
      <c r="S705" s="3"/>
      <c r="T705" s="3"/>
      <c r="U705" s="3"/>
      <c r="V705" s="3"/>
    </row>
    <row r="706" spans="1:22" s="4" customFormat="1" ht="31.5" x14ac:dyDescent="0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6"/>
      <c r="O706" s="3"/>
      <c r="P706" s="3"/>
      <c r="Q706" s="3"/>
      <c r="R706" s="3"/>
      <c r="S706" s="3"/>
      <c r="T706" s="3"/>
      <c r="U706" s="3"/>
      <c r="V706" s="3"/>
    </row>
    <row r="707" spans="1:22" s="4" customFormat="1" ht="31.5" x14ac:dyDescent="0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6"/>
      <c r="O707" s="3"/>
      <c r="P707" s="3"/>
      <c r="Q707" s="3"/>
      <c r="R707" s="3"/>
      <c r="S707" s="3"/>
      <c r="T707" s="3"/>
      <c r="U707" s="3"/>
      <c r="V707" s="3"/>
    </row>
    <row r="708" spans="1:22" s="4" customFormat="1" ht="31.5" x14ac:dyDescent="0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6"/>
      <c r="O708" s="3"/>
      <c r="P708" s="3"/>
      <c r="Q708" s="3"/>
      <c r="R708" s="3"/>
      <c r="S708" s="3"/>
      <c r="T708" s="3"/>
      <c r="U708" s="3"/>
      <c r="V708" s="3"/>
    </row>
    <row r="709" spans="1:22" s="4" customFormat="1" ht="31.5" x14ac:dyDescent="0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6"/>
      <c r="O709" s="3"/>
      <c r="P709" s="3"/>
      <c r="Q709" s="3"/>
      <c r="R709" s="3"/>
      <c r="S709" s="3"/>
      <c r="T709" s="3"/>
      <c r="U709" s="3"/>
      <c r="V709" s="3"/>
    </row>
    <row r="710" spans="1:22" s="4" customFormat="1" ht="31.5" x14ac:dyDescent="0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6"/>
      <c r="O710" s="3"/>
      <c r="P710" s="3"/>
      <c r="Q710" s="3"/>
      <c r="R710" s="3"/>
      <c r="S710" s="3"/>
      <c r="T710" s="3"/>
      <c r="U710" s="3"/>
      <c r="V710" s="3"/>
    </row>
    <row r="711" spans="1:22" s="4" customFormat="1" ht="31.5" x14ac:dyDescent="0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6"/>
      <c r="O711" s="3"/>
      <c r="P711" s="3"/>
      <c r="Q711" s="3"/>
      <c r="R711" s="3"/>
      <c r="S711" s="3"/>
      <c r="T711" s="3"/>
      <c r="U711" s="3"/>
      <c r="V711" s="3"/>
    </row>
    <row r="712" spans="1:22" s="4" customFormat="1" ht="31.5" x14ac:dyDescent="0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6"/>
      <c r="O712" s="3"/>
      <c r="P712" s="3"/>
      <c r="Q712" s="3"/>
      <c r="R712" s="3"/>
      <c r="S712" s="3"/>
      <c r="T712" s="3"/>
      <c r="U712" s="3"/>
      <c r="V712" s="3"/>
    </row>
    <row r="713" spans="1:22" s="4" customFormat="1" ht="31.5" x14ac:dyDescent="0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6"/>
      <c r="O713" s="3"/>
      <c r="P713" s="3"/>
      <c r="Q713" s="3"/>
      <c r="R713" s="3"/>
      <c r="S713" s="3"/>
      <c r="T713" s="3"/>
      <c r="U713" s="3"/>
      <c r="V713" s="3"/>
    </row>
    <row r="714" spans="1:22" s="4" customFormat="1" ht="31.5" x14ac:dyDescent="0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6"/>
      <c r="O714" s="3"/>
      <c r="P714" s="3"/>
      <c r="Q714" s="3"/>
      <c r="R714" s="3"/>
      <c r="S714" s="3"/>
      <c r="T714" s="3"/>
      <c r="U714" s="3"/>
      <c r="V714" s="3"/>
    </row>
    <row r="715" spans="1:22" s="4" customFormat="1" ht="31.5" x14ac:dyDescent="0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6"/>
      <c r="O715" s="3"/>
      <c r="P715" s="3"/>
      <c r="Q715" s="3"/>
      <c r="R715" s="3"/>
      <c r="S715" s="3"/>
      <c r="T715" s="3"/>
      <c r="U715" s="3"/>
      <c r="V715" s="3"/>
    </row>
    <row r="716" spans="1:22" s="4" customFormat="1" ht="31.5" x14ac:dyDescent="0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6"/>
      <c r="O716" s="3"/>
      <c r="P716" s="3"/>
      <c r="Q716" s="3"/>
      <c r="R716" s="3"/>
      <c r="S716" s="3"/>
      <c r="T716" s="3"/>
      <c r="U716" s="3"/>
      <c r="V716" s="3"/>
    </row>
    <row r="717" spans="1:22" s="4" customFormat="1" ht="31.5" x14ac:dyDescent="0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6"/>
      <c r="O717" s="3"/>
      <c r="P717" s="3"/>
      <c r="Q717" s="3"/>
      <c r="R717" s="3"/>
      <c r="S717" s="3"/>
      <c r="T717" s="3"/>
      <c r="U717" s="3"/>
      <c r="V717" s="3"/>
    </row>
    <row r="718" spans="1:22" s="4" customFormat="1" ht="31.5" x14ac:dyDescent="0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6"/>
      <c r="O718" s="3"/>
      <c r="P718" s="3"/>
      <c r="Q718" s="3"/>
      <c r="R718" s="3"/>
      <c r="S718" s="3"/>
      <c r="T718" s="3"/>
      <c r="U718" s="3"/>
      <c r="V718" s="3"/>
    </row>
    <row r="719" spans="1:22" s="4" customFormat="1" ht="31.5" x14ac:dyDescent="0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6"/>
      <c r="O719" s="3"/>
      <c r="P719" s="3"/>
      <c r="Q719" s="3"/>
      <c r="R719" s="3"/>
      <c r="S719" s="3"/>
      <c r="T719" s="3"/>
      <c r="U719" s="3"/>
      <c r="V719" s="3"/>
    </row>
    <row r="720" spans="1:22" s="4" customFormat="1" ht="31.5" x14ac:dyDescent="0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6"/>
      <c r="O720" s="3"/>
      <c r="P720" s="3"/>
      <c r="Q720" s="3"/>
      <c r="R720" s="3"/>
      <c r="S720" s="3"/>
      <c r="T720" s="3"/>
      <c r="U720" s="3"/>
      <c r="V720" s="3"/>
    </row>
    <row r="721" spans="1:22" s="4" customFormat="1" ht="31.5" x14ac:dyDescent="0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6"/>
      <c r="O721" s="3"/>
      <c r="P721" s="3"/>
      <c r="Q721" s="3"/>
      <c r="R721" s="3"/>
      <c r="S721" s="3"/>
      <c r="T721" s="3"/>
      <c r="U721" s="3"/>
      <c r="V721" s="3"/>
    </row>
    <row r="722" spans="1:22" s="4" customFormat="1" ht="31.5" x14ac:dyDescent="0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6"/>
      <c r="O722" s="3"/>
      <c r="P722" s="3"/>
      <c r="Q722" s="3"/>
      <c r="R722" s="3"/>
      <c r="S722" s="3"/>
      <c r="T722" s="3"/>
      <c r="U722" s="3"/>
      <c r="V722" s="3"/>
    </row>
    <row r="723" spans="1:22" s="4" customFormat="1" ht="31.5" x14ac:dyDescent="0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6"/>
      <c r="O723" s="3"/>
      <c r="P723" s="3"/>
      <c r="Q723" s="3"/>
      <c r="R723" s="3"/>
      <c r="S723" s="3"/>
      <c r="T723" s="3"/>
      <c r="U723" s="3"/>
      <c r="V723" s="3"/>
    </row>
    <row r="724" spans="1:22" s="4" customFormat="1" ht="31.5" x14ac:dyDescent="0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6"/>
      <c r="O724" s="3"/>
      <c r="P724" s="3"/>
      <c r="Q724" s="3"/>
      <c r="R724" s="3"/>
      <c r="S724" s="3"/>
      <c r="T724" s="3"/>
      <c r="U724" s="3"/>
      <c r="V724" s="3"/>
    </row>
    <row r="725" spans="1:22" s="4" customFormat="1" ht="31.5" x14ac:dyDescent="0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6"/>
      <c r="O725" s="3"/>
      <c r="P725" s="3"/>
      <c r="Q725" s="3"/>
      <c r="R725" s="3"/>
      <c r="S725" s="3"/>
      <c r="T725" s="3"/>
      <c r="U725" s="3"/>
      <c r="V725" s="3"/>
    </row>
    <row r="726" spans="1:22" s="4" customFormat="1" ht="31.5" x14ac:dyDescent="0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6"/>
      <c r="O726" s="3"/>
      <c r="P726" s="3"/>
      <c r="Q726" s="3"/>
      <c r="R726" s="3"/>
      <c r="S726" s="3"/>
      <c r="T726" s="3"/>
      <c r="U726" s="3"/>
      <c r="V726" s="3"/>
    </row>
    <row r="727" spans="1:22" s="4" customFormat="1" ht="31.5" x14ac:dyDescent="0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6"/>
      <c r="O727" s="3"/>
      <c r="P727" s="3"/>
      <c r="Q727" s="3"/>
      <c r="R727" s="3"/>
      <c r="S727" s="3"/>
      <c r="T727" s="3"/>
      <c r="U727" s="3"/>
      <c r="V727" s="3"/>
    </row>
    <row r="728" spans="1:22" s="4" customFormat="1" ht="31.5" x14ac:dyDescent="0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6"/>
      <c r="O728" s="3"/>
      <c r="P728" s="3"/>
      <c r="Q728" s="3"/>
      <c r="R728" s="3"/>
      <c r="S728" s="3"/>
      <c r="T728" s="3"/>
      <c r="U728" s="3"/>
      <c r="V728" s="3"/>
    </row>
    <row r="729" spans="1:22" s="4" customFormat="1" ht="31.5" x14ac:dyDescent="0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6"/>
      <c r="O729" s="3"/>
      <c r="P729" s="3"/>
      <c r="Q729" s="3"/>
      <c r="R729" s="3"/>
      <c r="S729" s="3"/>
      <c r="T729" s="3"/>
      <c r="U729" s="3"/>
      <c r="V729" s="3"/>
    </row>
    <row r="730" spans="1:22" s="3" customFormat="1" ht="31.5" x14ac:dyDescent="0.5">
      <c r="N730" s="16"/>
    </row>
    <row r="731" spans="1:22" s="3" customFormat="1" ht="31.5" x14ac:dyDescent="0.5">
      <c r="N731" s="16"/>
    </row>
    <row r="732" spans="1:22" s="3" customFormat="1" ht="31.5" x14ac:dyDescent="0.5">
      <c r="N732" s="16"/>
    </row>
    <row r="733" spans="1:22" s="3" customFormat="1" ht="31.5" x14ac:dyDescent="0.5">
      <c r="N733" s="16"/>
    </row>
    <row r="734" spans="1:22" s="3" customFormat="1" ht="31.5" x14ac:dyDescent="0.5">
      <c r="N734" s="16"/>
    </row>
    <row r="735" spans="1:22" s="3" customFormat="1" ht="31.5" x14ac:dyDescent="0.5">
      <c r="N735" s="16"/>
    </row>
    <row r="736" spans="1:22" s="3" customFormat="1" ht="31.5" x14ac:dyDescent="0.5">
      <c r="N736" s="16"/>
    </row>
    <row r="737" spans="1:22" s="3" customFormat="1" ht="31.5" x14ac:dyDescent="0.5">
      <c r="N737" s="16"/>
    </row>
    <row r="738" spans="1:22" s="3" customFormat="1" ht="31.5" x14ac:dyDescent="0.5">
      <c r="N738" s="16"/>
    </row>
    <row r="739" spans="1:22" s="3" customFormat="1" ht="31.5" x14ac:dyDescent="0.5">
      <c r="N739" s="16"/>
    </row>
    <row r="740" spans="1:22" s="3" customFormat="1" ht="31.5" x14ac:dyDescent="0.5">
      <c r="I740" s="14"/>
      <c r="N740" s="16"/>
    </row>
    <row r="741" spans="1:22" s="3" customFormat="1" ht="31.5" x14ac:dyDescent="0.5">
      <c r="I741" s="14"/>
      <c r="N741" s="16"/>
    </row>
    <row r="742" spans="1:22" s="3" customFormat="1" ht="31.5" x14ac:dyDescent="0.5">
      <c r="N742" s="16"/>
    </row>
    <row r="743" spans="1:22" s="3" customFormat="1" ht="31.5" x14ac:dyDescent="0.5">
      <c r="N743" s="16"/>
    </row>
    <row r="744" spans="1:22" s="3" customFormat="1" ht="31.5" x14ac:dyDescent="0.5">
      <c r="N744" s="16"/>
    </row>
    <row r="745" spans="1:22" s="3" customFormat="1" ht="31.5" x14ac:dyDescent="0.5">
      <c r="N745" s="16"/>
    </row>
    <row r="746" spans="1:22" s="3" customFormat="1" ht="31.5" x14ac:dyDescent="0.5">
      <c r="N746" s="16"/>
    </row>
    <row r="747" spans="1:22" s="3" customFormat="1" ht="31.5" x14ac:dyDescent="0.5">
      <c r="N747" s="16"/>
    </row>
    <row r="748" spans="1:22" s="3" customFormat="1" ht="31.5" x14ac:dyDescent="0.5">
      <c r="N748" s="16"/>
    </row>
    <row r="749" spans="1:22" s="3" customFormat="1" ht="31.5" x14ac:dyDescent="0.5">
      <c r="N749" s="16"/>
    </row>
    <row r="750" spans="1:22" s="4" customFormat="1" ht="31.5" x14ac:dyDescent="0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6"/>
      <c r="O750" s="3"/>
      <c r="P750" s="3"/>
      <c r="Q750" s="3"/>
      <c r="R750" s="3"/>
      <c r="S750" s="3"/>
      <c r="T750" s="3"/>
      <c r="U750" s="3"/>
      <c r="V750" s="3"/>
    </row>
    <row r="751" spans="1:22" s="4" customFormat="1" ht="31.5" x14ac:dyDescent="0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6"/>
      <c r="O751" s="3"/>
      <c r="P751" s="3"/>
      <c r="Q751" s="3"/>
      <c r="R751" s="3"/>
      <c r="S751" s="3"/>
      <c r="T751" s="3"/>
      <c r="U751" s="3"/>
      <c r="V751" s="3"/>
    </row>
    <row r="752" spans="1:22" s="4" customFormat="1" ht="31.5" x14ac:dyDescent="0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6"/>
      <c r="O752" s="3"/>
      <c r="P752" s="3"/>
      <c r="Q752" s="3"/>
      <c r="R752" s="3"/>
      <c r="S752" s="3"/>
      <c r="T752" s="3"/>
      <c r="U752" s="3"/>
      <c r="V752" s="3"/>
    </row>
    <row r="753" spans="1:22" s="4" customFormat="1" ht="31.5" x14ac:dyDescent="0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6"/>
      <c r="O753" s="3"/>
      <c r="P753" s="3"/>
      <c r="Q753" s="3"/>
      <c r="R753" s="3"/>
      <c r="S753" s="3"/>
      <c r="T753" s="3"/>
      <c r="U753" s="3"/>
      <c r="V753" s="3"/>
    </row>
    <row r="754" spans="1:22" s="4" customFormat="1" ht="31.5" x14ac:dyDescent="0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6"/>
      <c r="O754" s="3"/>
      <c r="P754" s="3"/>
      <c r="Q754" s="3"/>
      <c r="R754" s="3"/>
      <c r="S754" s="3"/>
      <c r="T754" s="3"/>
      <c r="U754" s="3"/>
      <c r="V754" s="3"/>
    </row>
    <row r="755" spans="1:22" s="4" customFormat="1" ht="31.5" x14ac:dyDescent="0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6"/>
      <c r="O755" s="3"/>
      <c r="P755" s="3"/>
      <c r="Q755" s="3"/>
      <c r="R755" s="3"/>
      <c r="S755" s="3"/>
      <c r="T755" s="3"/>
      <c r="U755" s="3"/>
      <c r="V755" s="3"/>
    </row>
    <row r="756" spans="1:22" s="4" customFormat="1" ht="31.5" x14ac:dyDescent="0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6"/>
      <c r="O756" s="3"/>
      <c r="P756" s="3"/>
      <c r="Q756" s="3"/>
      <c r="R756" s="3"/>
      <c r="S756" s="3"/>
      <c r="T756" s="3"/>
      <c r="U756" s="3"/>
      <c r="V756" s="3"/>
    </row>
    <row r="757" spans="1:22" s="4" customFormat="1" ht="31.5" x14ac:dyDescent="0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10"/>
      <c r="N757" s="16"/>
      <c r="O757" s="3"/>
      <c r="P757" s="3"/>
      <c r="Q757" s="3"/>
      <c r="R757" s="3"/>
      <c r="S757" s="3"/>
      <c r="T757" s="3"/>
      <c r="U757" s="3"/>
      <c r="V757" s="3"/>
    </row>
    <row r="758" spans="1:22" s="4" customFormat="1" ht="31.5" x14ac:dyDescent="0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10"/>
      <c r="N758" s="16"/>
      <c r="O758" s="3"/>
      <c r="P758" s="3"/>
      <c r="Q758" s="3"/>
      <c r="R758" s="3"/>
      <c r="S758" s="3"/>
      <c r="T758" s="3"/>
      <c r="U758" s="3"/>
      <c r="V758" s="3"/>
    </row>
    <row r="759" spans="1:22" s="4" customFormat="1" ht="31.5" x14ac:dyDescent="0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6"/>
      <c r="O759" s="3"/>
      <c r="P759" s="3"/>
      <c r="Q759" s="3"/>
      <c r="R759" s="3"/>
      <c r="S759" s="3"/>
      <c r="T759" s="3"/>
      <c r="U759" s="3"/>
      <c r="V759" s="3"/>
    </row>
    <row r="760" spans="1:22" s="4" customFormat="1" ht="31.5" x14ac:dyDescent="0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6"/>
      <c r="O760" s="3"/>
      <c r="P760" s="3"/>
      <c r="Q760" s="3"/>
      <c r="R760" s="3"/>
      <c r="S760" s="3"/>
      <c r="T760" s="3"/>
      <c r="U760" s="3"/>
      <c r="V760" s="3"/>
    </row>
    <row r="761" spans="1:22" s="4" customFormat="1" ht="31.5" x14ac:dyDescent="0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6"/>
      <c r="O761" s="3"/>
      <c r="P761" s="3"/>
      <c r="Q761" s="3"/>
      <c r="R761" s="3"/>
      <c r="S761" s="3"/>
      <c r="T761" s="3"/>
      <c r="U761" s="3"/>
      <c r="V761" s="3"/>
    </row>
    <row r="762" spans="1:22" s="4" customFormat="1" ht="31.5" x14ac:dyDescent="0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6"/>
      <c r="O762" s="3"/>
      <c r="P762" s="3"/>
      <c r="Q762" s="3"/>
      <c r="R762" s="3"/>
      <c r="S762" s="3"/>
      <c r="T762" s="3"/>
      <c r="U762" s="3"/>
      <c r="V762" s="3"/>
    </row>
    <row r="763" spans="1:22" s="4" customFormat="1" ht="31.5" x14ac:dyDescent="0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6"/>
      <c r="O763" s="3"/>
      <c r="P763" s="3"/>
      <c r="Q763" s="3"/>
      <c r="R763" s="3"/>
      <c r="S763" s="3"/>
      <c r="T763" s="3"/>
      <c r="U763" s="3"/>
      <c r="V763" s="3"/>
    </row>
    <row r="764" spans="1:22" s="4" customFormat="1" ht="31.5" x14ac:dyDescent="0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6"/>
      <c r="O764" s="3"/>
      <c r="P764" s="3"/>
      <c r="Q764" s="3"/>
      <c r="R764" s="3"/>
      <c r="S764" s="3"/>
      <c r="T764" s="3"/>
      <c r="U764" s="3"/>
      <c r="V764" s="3"/>
    </row>
    <row r="765" spans="1:22" s="4" customFormat="1" ht="31.5" x14ac:dyDescent="0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6"/>
      <c r="O765" s="3"/>
      <c r="P765" s="3"/>
      <c r="Q765" s="3"/>
      <c r="R765" s="3"/>
      <c r="S765" s="3"/>
      <c r="T765" s="3"/>
      <c r="U765" s="3"/>
      <c r="V765" s="3"/>
    </row>
    <row r="766" spans="1:22" s="3" customFormat="1" ht="31.5" x14ac:dyDescent="0.5">
      <c r="I766" s="5"/>
      <c r="N766" s="16"/>
    </row>
    <row r="767" spans="1:22" s="4" customFormat="1" ht="31.5" x14ac:dyDescent="0.5">
      <c r="A767" s="3"/>
      <c r="B767" s="3"/>
      <c r="C767" s="3"/>
      <c r="D767" s="3"/>
      <c r="E767" s="3"/>
      <c r="F767" s="3"/>
      <c r="G767" s="3"/>
      <c r="H767" s="3"/>
      <c r="I767" s="5"/>
      <c r="J767" s="3"/>
      <c r="K767" s="3"/>
      <c r="L767" s="3"/>
      <c r="M767" s="3"/>
      <c r="N767" s="16"/>
      <c r="O767" s="3"/>
      <c r="P767" s="3"/>
      <c r="Q767" s="3"/>
      <c r="R767" s="3"/>
      <c r="S767" s="3"/>
      <c r="T767" s="3"/>
      <c r="U767" s="3"/>
      <c r="V767" s="3"/>
    </row>
    <row r="768" spans="1:22" s="4" customFormat="1" ht="31.5" x14ac:dyDescent="0.5">
      <c r="A768" s="3"/>
      <c r="B768" s="3"/>
      <c r="C768" s="3"/>
      <c r="D768" s="3"/>
      <c r="E768" s="3"/>
      <c r="F768" s="3"/>
      <c r="G768" s="3"/>
      <c r="H768" s="3"/>
      <c r="I768" s="5"/>
      <c r="J768" s="3"/>
      <c r="K768" s="3"/>
      <c r="L768" s="3"/>
      <c r="M768" s="3"/>
      <c r="N768" s="16"/>
      <c r="O768" s="3"/>
      <c r="P768" s="3"/>
      <c r="Q768" s="3"/>
      <c r="R768" s="3"/>
      <c r="S768" s="3"/>
      <c r="T768" s="3"/>
      <c r="U768" s="3"/>
      <c r="V768" s="3"/>
    </row>
    <row r="769" spans="1:22" s="4" customFormat="1" ht="31.5" x14ac:dyDescent="0.5">
      <c r="A769" s="3"/>
      <c r="B769" s="3"/>
      <c r="C769" s="3"/>
      <c r="D769" s="3"/>
      <c r="E769" s="3"/>
      <c r="F769" s="3"/>
      <c r="G769" s="3"/>
      <c r="H769" s="3"/>
      <c r="I769" s="5"/>
      <c r="J769" s="3"/>
      <c r="K769" s="3"/>
      <c r="L769" s="3"/>
      <c r="M769" s="3"/>
      <c r="N769" s="16"/>
      <c r="O769" s="3"/>
      <c r="P769" s="3"/>
      <c r="Q769" s="3"/>
      <c r="R769" s="3"/>
      <c r="S769" s="3"/>
      <c r="T769" s="3"/>
      <c r="U769" s="3"/>
      <c r="V769" s="3"/>
    </row>
    <row r="770" spans="1:22" s="4" customFormat="1" ht="31.5" x14ac:dyDescent="0.5">
      <c r="A770" s="3"/>
      <c r="B770" s="3"/>
      <c r="C770" s="3"/>
      <c r="D770" s="3"/>
      <c r="E770" s="3"/>
      <c r="F770" s="3"/>
      <c r="G770" s="3"/>
      <c r="H770" s="3"/>
      <c r="I770" s="5"/>
      <c r="J770" s="3"/>
      <c r="K770" s="3"/>
      <c r="L770" s="3"/>
      <c r="M770" s="3"/>
      <c r="N770" s="16"/>
      <c r="O770" s="3"/>
      <c r="P770" s="3"/>
      <c r="Q770" s="3"/>
      <c r="R770" s="3"/>
      <c r="S770" s="3"/>
      <c r="T770" s="3"/>
      <c r="U770" s="3"/>
      <c r="V770" s="3"/>
    </row>
    <row r="771" spans="1:22" s="4" customFormat="1" ht="31.5" x14ac:dyDescent="0.5">
      <c r="A771" s="3"/>
      <c r="B771" s="3"/>
      <c r="C771" s="3"/>
      <c r="D771" s="3"/>
      <c r="E771" s="3"/>
      <c r="F771" s="3"/>
      <c r="G771" s="3"/>
      <c r="H771" s="3"/>
      <c r="I771" s="5"/>
      <c r="J771" s="3"/>
      <c r="K771" s="3"/>
      <c r="L771" s="3"/>
      <c r="M771" s="3"/>
      <c r="N771" s="16"/>
      <c r="O771" s="3"/>
      <c r="P771" s="3"/>
      <c r="Q771" s="3"/>
      <c r="R771" s="3"/>
      <c r="S771" s="3"/>
      <c r="T771" s="3"/>
      <c r="U771" s="3"/>
      <c r="V771" s="3"/>
    </row>
    <row r="772" spans="1:22" s="4" customFormat="1" ht="31.5" x14ac:dyDescent="0.5">
      <c r="A772" s="3"/>
      <c r="B772" s="3"/>
      <c r="C772" s="3"/>
      <c r="D772" s="3"/>
      <c r="E772" s="3"/>
      <c r="F772" s="3"/>
      <c r="G772" s="3"/>
      <c r="H772" s="3"/>
      <c r="I772" s="5"/>
      <c r="J772" s="3"/>
      <c r="K772" s="3"/>
      <c r="L772" s="3"/>
      <c r="M772" s="3"/>
      <c r="N772" s="16"/>
      <c r="O772" s="3"/>
      <c r="P772" s="3"/>
      <c r="Q772" s="3"/>
      <c r="R772" s="3"/>
      <c r="S772" s="3"/>
      <c r="T772" s="3"/>
      <c r="U772" s="3"/>
      <c r="V772" s="3"/>
    </row>
    <row r="773" spans="1:22" s="4" customFormat="1" ht="31.5" x14ac:dyDescent="0.5">
      <c r="A773" s="3"/>
      <c r="B773" s="3"/>
      <c r="C773" s="3"/>
      <c r="D773" s="3"/>
      <c r="E773" s="3"/>
      <c r="F773" s="3"/>
      <c r="G773" s="3"/>
      <c r="H773" s="3"/>
      <c r="I773" s="5"/>
      <c r="J773" s="3"/>
      <c r="K773" s="3"/>
      <c r="L773" s="3"/>
      <c r="M773" s="3"/>
      <c r="N773" s="16"/>
      <c r="O773" s="3"/>
      <c r="P773" s="3"/>
      <c r="Q773" s="3"/>
      <c r="R773" s="3"/>
      <c r="S773" s="3"/>
      <c r="T773" s="3"/>
      <c r="U773" s="3"/>
      <c r="V773" s="3"/>
    </row>
    <row r="774" spans="1:22" s="3" customFormat="1" ht="31.5" x14ac:dyDescent="0.5">
      <c r="I774" s="5"/>
      <c r="N774" s="16"/>
    </row>
    <row r="775" spans="1:22" s="4" customFormat="1" ht="31.5" x14ac:dyDescent="0.5">
      <c r="A775" s="3"/>
      <c r="B775" s="3"/>
      <c r="C775" s="3"/>
      <c r="D775" s="3"/>
      <c r="E775" s="3"/>
      <c r="F775" s="3"/>
      <c r="G775" s="3"/>
      <c r="H775" s="3"/>
      <c r="I775" s="5"/>
      <c r="J775" s="3"/>
      <c r="K775" s="3"/>
      <c r="L775" s="3"/>
      <c r="M775" s="3"/>
      <c r="N775" s="16"/>
      <c r="O775" s="3"/>
      <c r="P775" s="3"/>
      <c r="Q775" s="3"/>
      <c r="R775" s="3"/>
      <c r="S775" s="3"/>
      <c r="T775" s="3"/>
      <c r="U775" s="3"/>
      <c r="V775" s="3"/>
    </row>
    <row r="776" spans="1:22" s="3" customFormat="1" ht="31.5" x14ac:dyDescent="0.5">
      <c r="I776" s="5"/>
      <c r="N776" s="16"/>
    </row>
    <row r="777" spans="1:22" s="4" customFormat="1" ht="31.5" x14ac:dyDescent="0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6"/>
      <c r="O777" s="3"/>
      <c r="P777" s="3"/>
      <c r="Q777" s="3"/>
      <c r="R777" s="3"/>
      <c r="S777" s="3"/>
      <c r="T777" s="3"/>
      <c r="U777" s="3"/>
      <c r="V777" s="3"/>
    </row>
    <row r="778" spans="1:22" s="4" customFormat="1" ht="31.5" x14ac:dyDescent="0.5">
      <c r="A778" s="3"/>
      <c r="B778" s="3"/>
      <c r="C778" s="3"/>
      <c r="D778" s="3"/>
      <c r="E778" s="3"/>
      <c r="F778" s="3"/>
      <c r="G778" s="3"/>
      <c r="H778" s="3"/>
      <c r="I778" s="5"/>
      <c r="J778" s="3"/>
      <c r="K778" s="3"/>
      <c r="L778" s="3"/>
      <c r="M778" s="3"/>
      <c r="N778" s="16"/>
      <c r="O778" s="3"/>
      <c r="P778" s="3"/>
      <c r="Q778" s="3"/>
      <c r="R778" s="3"/>
      <c r="S778" s="3"/>
      <c r="T778" s="3"/>
      <c r="U778" s="3"/>
      <c r="V778" s="3"/>
    </row>
    <row r="779" spans="1:22" s="3" customFormat="1" ht="31.5" x14ac:dyDescent="0.5">
      <c r="N779" s="16"/>
    </row>
    <row r="780" spans="1:22" s="4" customFormat="1" ht="31.5" x14ac:dyDescent="0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6"/>
      <c r="O780" s="3"/>
      <c r="P780" s="3"/>
      <c r="Q780" s="3"/>
      <c r="R780" s="3"/>
      <c r="S780" s="3"/>
      <c r="T780" s="3"/>
      <c r="U780" s="3"/>
      <c r="V780" s="3"/>
    </row>
    <row r="781" spans="1:22" s="4" customFormat="1" ht="31.5" x14ac:dyDescent="0.5">
      <c r="A781" s="3"/>
      <c r="B781" s="3"/>
      <c r="C781" s="3"/>
      <c r="D781" s="3"/>
      <c r="E781" s="3"/>
      <c r="F781" s="3"/>
      <c r="G781" s="3"/>
      <c r="H781" s="3"/>
      <c r="I781" s="5"/>
      <c r="J781" s="3"/>
      <c r="K781" s="3"/>
      <c r="L781" s="3"/>
      <c r="M781" s="3"/>
      <c r="N781" s="16"/>
      <c r="O781" s="3"/>
      <c r="P781" s="3"/>
      <c r="Q781" s="3"/>
      <c r="R781" s="3"/>
      <c r="S781" s="3"/>
      <c r="T781" s="3"/>
      <c r="U781" s="3"/>
      <c r="V781" s="3"/>
    </row>
    <row r="782" spans="1:22" s="3" customFormat="1" ht="31.5" x14ac:dyDescent="0.5">
      <c r="N782" s="16"/>
    </row>
    <row r="783" spans="1:22" s="3" customFormat="1" ht="31.5" x14ac:dyDescent="0.5">
      <c r="N783" s="16"/>
    </row>
    <row r="784" spans="1:22" s="3" customFormat="1" ht="31.5" x14ac:dyDescent="0.5">
      <c r="I784" s="5"/>
      <c r="N784" s="16"/>
    </row>
    <row r="785" spans="1:22" s="4" customFormat="1" ht="31.5" x14ac:dyDescent="0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6"/>
      <c r="O785" s="3"/>
      <c r="P785" s="3"/>
      <c r="Q785" s="3"/>
      <c r="R785" s="3"/>
      <c r="S785" s="3"/>
      <c r="T785" s="3"/>
      <c r="U785" s="3"/>
      <c r="V785" s="3"/>
    </row>
    <row r="786" spans="1:22" s="4" customFormat="1" ht="31.5" x14ac:dyDescent="0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6"/>
      <c r="O786" s="3"/>
      <c r="P786" s="3"/>
      <c r="Q786" s="3"/>
      <c r="R786" s="3"/>
      <c r="S786" s="3"/>
      <c r="T786" s="3"/>
      <c r="U786" s="3"/>
      <c r="V786" s="3"/>
    </row>
    <row r="787" spans="1:22" s="4" customFormat="1" ht="31.5" x14ac:dyDescent="0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6"/>
      <c r="O787" s="3"/>
      <c r="P787" s="3"/>
      <c r="Q787" s="3"/>
      <c r="R787" s="3"/>
      <c r="S787" s="3"/>
      <c r="T787" s="3"/>
      <c r="U787" s="3"/>
      <c r="V787" s="3"/>
    </row>
    <row r="788" spans="1:22" s="3" customFormat="1" ht="31.5" x14ac:dyDescent="0.5">
      <c r="N788" s="16"/>
    </row>
    <row r="789" spans="1:22" s="4" customFormat="1" ht="31.5" x14ac:dyDescent="0.5">
      <c r="A789" s="3"/>
      <c r="B789" s="3"/>
      <c r="C789" s="3"/>
      <c r="D789" s="3"/>
      <c r="E789" s="3"/>
      <c r="F789" s="3"/>
      <c r="G789" s="3"/>
      <c r="H789" s="3"/>
      <c r="I789" s="5"/>
      <c r="J789" s="3"/>
      <c r="K789" s="3"/>
      <c r="L789" s="3"/>
      <c r="M789" s="3"/>
      <c r="N789" s="16"/>
      <c r="O789" s="3"/>
      <c r="P789" s="3"/>
      <c r="Q789" s="3"/>
      <c r="R789" s="3"/>
      <c r="S789" s="3"/>
      <c r="T789" s="3"/>
      <c r="U789" s="3"/>
      <c r="V789" s="3"/>
    </row>
    <row r="790" spans="1:22" s="3" customFormat="1" ht="31.5" x14ac:dyDescent="0.5">
      <c r="N790" s="16"/>
    </row>
    <row r="791" spans="1:22" s="4" customFormat="1" ht="31.5" x14ac:dyDescent="0.5">
      <c r="A791" s="3"/>
      <c r="B791" s="3"/>
      <c r="C791" s="3"/>
      <c r="D791" s="3"/>
      <c r="E791" s="3"/>
      <c r="F791" s="3"/>
      <c r="G791" s="3"/>
      <c r="H791" s="3"/>
      <c r="I791" s="5"/>
      <c r="J791" s="3"/>
      <c r="K791" s="3"/>
      <c r="L791" s="3"/>
      <c r="M791" s="3"/>
      <c r="N791" s="16"/>
      <c r="O791" s="3"/>
      <c r="P791" s="3"/>
      <c r="Q791" s="3"/>
      <c r="R791" s="3"/>
      <c r="S791" s="3"/>
      <c r="T791" s="3"/>
      <c r="U791" s="3"/>
      <c r="V791" s="3"/>
    </row>
    <row r="792" spans="1:22" s="3" customFormat="1" ht="31.5" x14ac:dyDescent="0.5">
      <c r="N792" s="16"/>
    </row>
    <row r="793" spans="1:22" s="3" customFormat="1" ht="31.5" x14ac:dyDescent="0.5">
      <c r="N793" s="16"/>
    </row>
    <row r="794" spans="1:22" s="3" customFormat="1" ht="31.5" x14ac:dyDescent="0.5">
      <c r="N794" s="16"/>
    </row>
    <row r="795" spans="1:22" s="3" customFormat="1" ht="31.5" x14ac:dyDescent="0.5">
      <c r="I795" s="5"/>
      <c r="N795" s="16"/>
    </row>
    <row r="796" spans="1:22" s="3" customFormat="1" ht="31.5" x14ac:dyDescent="0.5">
      <c r="I796" s="5"/>
      <c r="N796" s="16"/>
    </row>
    <row r="797" spans="1:22" s="3" customFormat="1" ht="31.5" x14ac:dyDescent="0.5">
      <c r="N797" s="16"/>
    </row>
    <row r="798" spans="1:22" s="3" customFormat="1" ht="31.5" x14ac:dyDescent="0.5">
      <c r="N798" s="16"/>
    </row>
    <row r="799" spans="1:22" s="3" customFormat="1" ht="31.5" x14ac:dyDescent="0.5">
      <c r="N799" s="16"/>
    </row>
    <row r="800" spans="1:22" s="3" customFormat="1" ht="31.5" x14ac:dyDescent="0.5">
      <c r="N800" s="16"/>
    </row>
    <row r="801" spans="1:22" ht="31.5" x14ac:dyDescent="0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6"/>
      <c r="O801" s="3"/>
      <c r="P801" s="3"/>
      <c r="Q801" s="3"/>
      <c r="R801" s="3"/>
      <c r="S801" s="3"/>
      <c r="T801" s="3"/>
      <c r="U801" s="3"/>
      <c r="V801" s="3"/>
    </row>
    <row r="802" spans="1:22" ht="31.5" x14ac:dyDescent="0.5">
      <c r="A802" s="3"/>
      <c r="B802" s="3"/>
      <c r="C802" s="3"/>
      <c r="D802" s="3"/>
      <c r="E802" s="3"/>
      <c r="F802" s="3"/>
      <c r="G802" s="3"/>
      <c r="H802" s="3"/>
      <c r="I802" s="5"/>
      <c r="J802" s="3"/>
      <c r="K802" s="3"/>
      <c r="L802" s="3"/>
      <c r="M802" s="3"/>
      <c r="N802" s="16"/>
      <c r="O802" s="3"/>
      <c r="P802" s="3"/>
      <c r="Q802" s="3"/>
      <c r="R802" s="3"/>
      <c r="S802" s="3"/>
      <c r="T802" s="3"/>
      <c r="U802" s="3"/>
      <c r="V802" s="3"/>
    </row>
    <row r="803" spans="1:22" ht="31.5" x14ac:dyDescent="0.5">
      <c r="A803" s="3"/>
      <c r="B803" s="3"/>
      <c r="C803" s="3"/>
      <c r="D803" s="3"/>
      <c r="E803" s="3"/>
      <c r="F803" s="3"/>
      <c r="G803" s="3"/>
      <c r="H803" s="3"/>
      <c r="I803" s="5"/>
      <c r="J803" s="3"/>
      <c r="K803" s="3"/>
      <c r="L803" s="3"/>
      <c r="M803" s="3"/>
      <c r="N803" s="16"/>
      <c r="O803" s="3"/>
      <c r="P803" s="3"/>
      <c r="Q803" s="3"/>
      <c r="R803" s="3"/>
      <c r="S803" s="3"/>
      <c r="T803" s="3"/>
      <c r="U803" s="3"/>
      <c r="V803" s="3"/>
    </row>
    <row r="804" spans="1:22" ht="31.5" x14ac:dyDescent="0.5">
      <c r="A804" s="3"/>
      <c r="B804" s="3"/>
      <c r="C804" s="3"/>
      <c r="D804" s="3"/>
      <c r="E804" s="3"/>
      <c r="F804" s="3"/>
      <c r="G804" s="3"/>
      <c r="H804" s="3"/>
      <c r="I804" s="5"/>
      <c r="J804" s="3"/>
      <c r="K804" s="3"/>
      <c r="L804" s="3"/>
      <c r="M804" s="3"/>
      <c r="N804" s="16"/>
      <c r="O804" s="3"/>
      <c r="P804" s="3"/>
      <c r="Q804" s="3"/>
      <c r="R804" s="3"/>
      <c r="S804" s="3"/>
      <c r="T804" s="3"/>
      <c r="U804" s="3"/>
      <c r="V804" s="3"/>
    </row>
    <row r="805" spans="1:22" ht="31.5" x14ac:dyDescent="0.5">
      <c r="A805" s="3"/>
      <c r="B805" s="3"/>
      <c r="C805" s="3"/>
      <c r="D805" s="3"/>
      <c r="E805" s="3"/>
      <c r="F805" s="3"/>
      <c r="G805" s="3"/>
      <c r="H805" s="3"/>
      <c r="I805" s="5"/>
      <c r="J805" s="3"/>
      <c r="K805" s="3"/>
      <c r="L805" s="3"/>
      <c r="M805" s="3"/>
      <c r="N805" s="16"/>
      <c r="O805" s="3"/>
      <c r="P805" s="3"/>
      <c r="Q805" s="3"/>
      <c r="R805" s="3"/>
      <c r="S805" s="3"/>
      <c r="T805" s="3"/>
      <c r="U805" s="3"/>
      <c r="V805" s="3"/>
    </row>
    <row r="806" spans="1:22" ht="31.5" x14ac:dyDescent="0.5">
      <c r="A806" s="3"/>
      <c r="B806" s="3"/>
      <c r="C806" s="3"/>
      <c r="D806" s="3"/>
      <c r="E806" s="3"/>
      <c r="F806" s="3"/>
      <c r="G806" s="3"/>
      <c r="H806" s="3"/>
      <c r="I806" s="5"/>
      <c r="J806" s="3"/>
      <c r="K806" s="3"/>
      <c r="L806" s="3"/>
      <c r="M806" s="3"/>
      <c r="N806" s="16"/>
      <c r="O806" s="3"/>
      <c r="P806" s="3"/>
      <c r="Q806" s="3"/>
      <c r="R806" s="3"/>
      <c r="S806" s="3"/>
      <c r="T806" s="3"/>
      <c r="U806" s="3"/>
      <c r="V806" s="3"/>
    </row>
    <row r="807" spans="1:22" s="3" customFormat="1" ht="31.5" x14ac:dyDescent="0.5">
      <c r="N807" s="16"/>
    </row>
    <row r="808" spans="1:22" ht="31.5" x14ac:dyDescent="0.5">
      <c r="A808" s="3"/>
      <c r="B808" s="3"/>
      <c r="C808" s="3"/>
      <c r="D808" s="3"/>
      <c r="E808" s="3"/>
      <c r="F808" s="3"/>
      <c r="G808" s="3"/>
      <c r="H808" s="3"/>
      <c r="I808" s="5"/>
      <c r="J808" s="3"/>
      <c r="K808" s="3"/>
      <c r="L808" s="3"/>
      <c r="M808" s="3"/>
      <c r="N808" s="16"/>
      <c r="O808" s="3"/>
      <c r="P808" s="3"/>
      <c r="Q808" s="3"/>
      <c r="R808" s="3"/>
      <c r="S808" s="3"/>
      <c r="T808" s="3"/>
      <c r="U808" s="3"/>
      <c r="V808" s="3"/>
    </row>
    <row r="809" spans="1:22" ht="31.5" x14ac:dyDescent="0.5">
      <c r="A809" s="3"/>
      <c r="B809" s="3"/>
      <c r="C809" s="3"/>
      <c r="D809" s="3"/>
      <c r="E809" s="3"/>
      <c r="F809" s="3"/>
      <c r="G809" s="3"/>
      <c r="H809" s="3"/>
      <c r="I809" s="5"/>
      <c r="J809" s="3"/>
      <c r="K809" s="3"/>
      <c r="L809" s="3"/>
      <c r="M809" s="3"/>
      <c r="N809" s="16"/>
      <c r="O809" s="3"/>
      <c r="P809" s="3"/>
      <c r="Q809" s="3"/>
      <c r="R809" s="3"/>
      <c r="S809" s="3"/>
      <c r="T809" s="3"/>
      <c r="U809" s="3"/>
      <c r="V809" s="3"/>
    </row>
    <row r="810" spans="1:22" ht="31.5" x14ac:dyDescent="0.5">
      <c r="A810" s="3"/>
      <c r="B810" s="3"/>
      <c r="C810" s="3"/>
      <c r="D810" s="3"/>
      <c r="E810" s="3"/>
      <c r="F810" s="3"/>
      <c r="G810" s="3"/>
      <c r="H810" s="3"/>
      <c r="I810" s="5"/>
      <c r="J810" s="3"/>
      <c r="K810" s="3"/>
      <c r="L810" s="3"/>
      <c r="M810" s="3"/>
      <c r="N810" s="16"/>
      <c r="O810" s="3"/>
      <c r="P810" s="3"/>
      <c r="Q810" s="3"/>
      <c r="R810" s="3"/>
      <c r="S810" s="3"/>
      <c r="T810" s="3"/>
      <c r="U810" s="3"/>
      <c r="V810" s="3"/>
    </row>
    <row r="811" spans="1:22" ht="31.5" x14ac:dyDescent="0.5">
      <c r="A811" s="3"/>
      <c r="B811" s="3"/>
      <c r="C811" s="3"/>
      <c r="D811" s="3"/>
      <c r="E811" s="3"/>
      <c r="F811" s="3"/>
      <c r="G811" s="3"/>
      <c r="H811" s="3"/>
      <c r="I811" s="5"/>
      <c r="J811" s="3"/>
      <c r="K811" s="3"/>
      <c r="L811" s="3"/>
      <c r="M811" s="3"/>
      <c r="N811" s="16"/>
      <c r="O811" s="3"/>
      <c r="P811" s="3"/>
      <c r="Q811" s="3"/>
      <c r="R811" s="3"/>
      <c r="S811" s="3"/>
      <c r="T811" s="3"/>
      <c r="U811" s="3"/>
      <c r="V811" s="3"/>
    </row>
    <row r="812" spans="1:22" ht="31.5" x14ac:dyDescent="0.5">
      <c r="A812" s="3"/>
      <c r="B812" s="3"/>
      <c r="C812" s="3"/>
      <c r="D812" s="3"/>
      <c r="E812" s="3"/>
      <c r="F812" s="3"/>
      <c r="G812" s="3"/>
      <c r="H812" s="3"/>
      <c r="I812" s="5"/>
      <c r="J812" s="3"/>
      <c r="K812" s="3"/>
      <c r="L812" s="3"/>
      <c r="M812" s="3"/>
      <c r="N812" s="16"/>
      <c r="O812" s="3"/>
      <c r="P812" s="3"/>
      <c r="Q812" s="3"/>
      <c r="R812" s="3"/>
      <c r="S812" s="3"/>
      <c r="T812" s="3"/>
      <c r="U812" s="3"/>
      <c r="V812" s="3"/>
    </row>
    <row r="813" spans="1:22" ht="31.5" x14ac:dyDescent="0.5">
      <c r="A813" s="3"/>
      <c r="B813" s="3"/>
      <c r="C813" s="3"/>
      <c r="D813" s="3"/>
      <c r="E813" s="3"/>
      <c r="F813" s="3"/>
      <c r="G813" s="3"/>
      <c r="H813" s="3"/>
      <c r="I813" s="5"/>
      <c r="J813" s="3"/>
      <c r="K813" s="3"/>
      <c r="L813" s="3"/>
      <c r="M813" s="3"/>
      <c r="N813" s="16"/>
      <c r="O813" s="3"/>
      <c r="P813" s="3"/>
      <c r="Q813" s="3"/>
      <c r="R813" s="3"/>
      <c r="S813" s="3"/>
      <c r="T813" s="3"/>
      <c r="U813" s="3"/>
      <c r="V813" s="3"/>
    </row>
    <row r="814" spans="1:22" ht="31.5" x14ac:dyDescent="0.5">
      <c r="A814" s="3"/>
      <c r="B814" s="3"/>
      <c r="C814" s="3"/>
      <c r="D814" s="3"/>
      <c r="E814" s="3"/>
      <c r="F814" s="3"/>
      <c r="G814" s="3"/>
      <c r="H814" s="3"/>
      <c r="I814" s="5"/>
      <c r="J814" s="3"/>
      <c r="K814" s="3"/>
      <c r="L814" s="3"/>
      <c r="M814" s="3"/>
      <c r="N814" s="16"/>
      <c r="O814" s="3"/>
      <c r="P814" s="3"/>
      <c r="Q814" s="3"/>
      <c r="R814" s="3"/>
      <c r="S814" s="3"/>
      <c r="T814" s="3"/>
      <c r="U814" s="3"/>
      <c r="V814" s="3"/>
    </row>
    <row r="815" spans="1:22" s="3" customFormat="1" ht="31.5" x14ac:dyDescent="0.5">
      <c r="I815" s="5"/>
      <c r="N815" s="16"/>
    </row>
    <row r="816" spans="1:22" ht="31.5" x14ac:dyDescent="0.5">
      <c r="A816" s="3"/>
      <c r="B816" s="3"/>
      <c r="C816" s="3"/>
      <c r="D816" s="3"/>
      <c r="E816" s="3"/>
      <c r="F816" s="3"/>
      <c r="G816" s="3"/>
      <c r="H816" s="3"/>
      <c r="I816" s="5"/>
      <c r="J816" s="3"/>
      <c r="K816" s="3"/>
      <c r="L816" s="3"/>
      <c r="M816" s="3"/>
      <c r="N816" s="16"/>
      <c r="O816" s="3"/>
      <c r="P816" s="3"/>
      <c r="Q816" s="3"/>
      <c r="R816" s="3"/>
      <c r="S816" s="3"/>
      <c r="T816" s="3"/>
      <c r="U816" s="3"/>
      <c r="V816" s="3"/>
    </row>
    <row r="817" spans="1:22" s="3" customFormat="1" ht="31.5" x14ac:dyDescent="0.5">
      <c r="I817" s="5"/>
      <c r="N817" s="16"/>
    </row>
    <row r="818" spans="1:22" ht="31.5" x14ac:dyDescent="0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6"/>
      <c r="O818" s="3"/>
      <c r="P818" s="3"/>
      <c r="Q818" s="3"/>
      <c r="R818" s="3"/>
      <c r="S818" s="3"/>
      <c r="T818" s="3"/>
      <c r="U818" s="3"/>
      <c r="V818" s="3"/>
    </row>
    <row r="819" spans="1:22" ht="31.5" x14ac:dyDescent="0.5">
      <c r="A819" s="3"/>
      <c r="B819" s="3"/>
      <c r="C819" s="3"/>
      <c r="D819" s="3"/>
      <c r="E819" s="3"/>
      <c r="F819" s="3"/>
      <c r="G819" s="3"/>
      <c r="H819" s="3"/>
      <c r="I819" s="5"/>
      <c r="J819" s="3"/>
      <c r="K819" s="3"/>
      <c r="L819" s="3"/>
      <c r="M819" s="3"/>
      <c r="N819" s="16"/>
      <c r="O819" s="3"/>
      <c r="P819" s="3"/>
      <c r="Q819" s="3"/>
      <c r="R819" s="3"/>
      <c r="S819" s="3"/>
      <c r="T819" s="3"/>
      <c r="U819" s="3"/>
      <c r="V819" s="3"/>
    </row>
    <row r="820" spans="1:22" ht="31.5" x14ac:dyDescent="0.5">
      <c r="A820" s="3"/>
      <c r="B820" s="3"/>
      <c r="C820" s="3"/>
      <c r="D820" s="3"/>
      <c r="E820" s="3"/>
      <c r="F820" s="3"/>
      <c r="G820" s="3"/>
      <c r="H820" s="3"/>
      <c r="I820" s="5"/>
      <c r="J820" s="3"/>
      <c r="K820" s="3"/>
      <c r="L820" s="3"/>
      <c r="M820" s="3"/>
      <c r="N820" s="16"/>
      <c r="O820" s="3"/>
      <c r="P820" s="3"/>
      <c r="Q820" s="3"/>
      <c r="R820" s="3"/>
      <c r="S820" s="3"/>
      <c r="T820" s="3"/>
      <c r="U820" s="3"/>
      <c r="V820" s="3"/>
    </row>
    <row r="821" spans="1:22" s="3" customFormat="1" ht="31.5" x14ac:dyDescent="0.5">
      <c r="I821" s="5"/>
      <c r="N821" s="16"/>
    </row>
    <row r="822" spans="1:22" ht="31.5" x14ac:dyDescent="0.5">
      <c r="A822" s="3"/>
      <c r="B822" s="3"/>
      <c r="C822" s="3"/>
      <c r="D822" s="3"/>
      <c r="E822" s="3"/>
      <c r="F822" s="3"/>
      <c r="G822" s="3"/>
      <c r="H822" s="3"/>
      <c r="I822" s="5"/>
      <c r="J822" s="3"/>
      <c r="K822" s="3"/>
      <c r="L822" s="3"/>
      <c r="M822" s="3"/>
      <c r="N822" s="16"/>
      <c r="O822" s="3"/>
      <c r="P822" s="3"/>
      <c r="Q822" s="3"/>
      <c r="R822" s="3"/>
      <c r="S822" s="3"/>
      <c r="T822" s="3"/>
      <c r="U822" s="3"/>
      <c r="V822" s="3"/>
    </row>
    <row r="823" spans="1:22" s="3" customFormat="1" ht="31.5" x14ac:dyDescent="0.5">
      <c r="I823" s="5"/>
      <c r="N823" s="16"/>
    </row>
    <row r="824" spans="1:22" s="3" customFormat="1" ht="31.5" x14ac:dyDescent="0.5">
      <c r="I824" s="5"/>
      <c r="N824" s="16"/>
    </row>
    <row r="825" spans="1:22" s="3" customFormat="1" ht="31.5" x14ac:dyDescent="0.5">
      <c r="I825" s="5"/>
      <c r="N825" s="16"/>
    </row>
    <row r="826" spans="1:22" s="3" customFormat="1" ht="31.5" x14ac:dyDescent="0.5">
      <c r="N826" s="16"/>
    </row>
    <row r="827" spans="1:22" s="3" customFormat="1" ht="31.5" x14ac:dyDescent="0.5">
      <c r="I827" s="5"/>
      <c r="N827" s="16"/>
    </row>
    <row r="828" spans="1:22" ht="31.5" x14ac:dyDescent="0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6"/>
      <c r="O828" s="3"/>
      <c r="P828" s="3"/>
      <c r="Q828" s="3"/>
      <c r="R828" s="3"/>
      <c r="S828" s="3"/>
      <c r="T828" s="3"/>
      <c r="U828" s="3"/>
      <c r="V828" s="3"/>
    </row>
    <row r="829" spans="1:22" ht="31.5" x14ac:dyDescent="0.5">
      <c r="A829" s="3"/>
      <c r="B829" s="3"/>
      <c r="C829" s="3"/>
      <c r="D829" s="3"/>
      <c r="E829" s="3"/>
      <c r="F829" s="3"/>
      <c r="G829" s="3"/>
      <c r="H829" s="3"/>
      <c r="I829" s="5"/>
      <c r="J829" s="3"/>
      <c r="K829" s="3"/>
      <c r="L829" s="3"/>
      <c r="M829" s="3"/>
      <c r="N829" s="16"/>
      <c r="O829" s="3"/>
      <c r="P829" s="3"/>
      <c r="Q829" s="3"/>
      <c r="R829" s="3"/>
      <c r="S829" s="3"/>
      <c r="T829" s="3"/>
      <c r="U829" s="3"/>
      <c r="V829" s="3"/>
    </row>
    <row r="830" spans="1:22" ht="31.5" x14ac:dyDescent="0.5">
      <c r="A830" s="3"/>
      <c r="B830" s="3"/>
      <c r="C830" s="3"/>
      <c r="D830" s="3"/>
      <c r="E830" s="3"/>
      <c r="F830" s="3"/>
      <c r="G830" s="3"/>
      <c r="H830" s="3"/>
      <c r="I830" s="5"/>
      <c r="J830" s="3"/>
      <c r="K830" s="3"/>
      <c r="L830" s="3"/>
      <c r="M830" s="3"/>
      <c r="N830" s="16"/>
      <c r="O830" s="3"/>
      <c r="P830" s="3"/>
      <c r="Q830" s="3"/>
      <c r="R830" s="3"/>
      <c r="S830" s="3"/>
      <c r="T830" s="3"/>
      <c r="U830" s="3"/>
      <c r="V830" s="3"/>
    </row>
    <row r="831" spans="1:22" s="3" customFormat="1" ht="31.5" x14ac:dyDescent="0.5">
      <c r="N831" s="16"/>
    </row>
    <row r="832" spans="1:22" s="3" customFormat="1" ht="31.5" x14ac:dyDescent="0.5">
      <c r="I832" s="5"/>
      <c r="N832" s="16"/>
    </row>
    <row r="833" spans="1:22" s="3" customFormat="1" ht="31.5" x14ac:dyDescent="0.5">
      <c r="I833" s="5"/>
      <c r="N833" s="16"/>
    </row>
    <row r="834" spans="1:22" s="3" customFormat="1" ht="31.5" x14ac:dyDescent="0.5">
      <c r="N834" s="16"/>
    </row>
    <row r="835" spans="1:22" s="3" customFormat="1" ht="31.5" x14ac:dyDescent="0.5">
      <c r="N835" s="16"/>
    </row>
    <row r="836" spans="1:22" ht="31.5" x14ac:dyDescent="0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6"/>
      <c r="O836" s="3"/>
      <c r="P836" s="3"/>
      <c r="Q836" s="3"/>
      <c r="R836" s="3"/>
      <c r="S836" s="3"/>
      <c r="T836" s="3"/>
      <c r="U836" s="3"/>
      <c r="V836" s="3"/>
    </row>
    <row r="837" spans="1:22" ht="31.5" x14ac:dyDescent="0.5">
      <c r="A837" s="3"/>
      <c r="B837" s="3"/>
      <c r="C837" s="3"/>
      <c r="D837" s="3"/>
      <c r="E837" s="3"/>
      <c r="F837" s="3"/>
      <c r="G837" s="3"/>
      <c r="H837" s="3"/>
      <c r="I837" s="5"/>
      <c r="J837" s="3"/>
      <c r="K837" s="3"/>
      <c r="L837" s="3"/>
      <c r="M837" s="3"/>
      <c r="N837" s="16"/>
      <c r="O837" s="3"/>
      <c r="P837" s="3"/>
      <c r="Q837" s="3"/>
      <c r="R837" s="3"/>
      <c r="S837" s="3"/>
      <c r="T837" s="3"/>
      <c r="U837" s="3"/>
      <c r="V837" s="3"/>
    </row>
    <row r="838" spans="1:22" ht="31.5" x14ac:dyDescent="0.5">
      <c r="A838" s="3"/>
      <c r="B838" s="3"/>
      <c r="C838" s="3"/>
      <c r="D838" s="3"/>
      <c r="E838" s="3"/>
      <c r="F838" s="3"/>
      <c r="G838" s="3"/>
      <c r="H838" s="3"/>
      <c r="I838" s="5"/>
      <c r="J838" s="3"/>
      <c r="K838" s="3"/>
      <c r="L838" s="3"/>
      <c r="M838" s="3"/>
      <c r="N838" s="16"/>
      <c r="O838" s="3"/>
      <c r="P838" s="3"/>
      <c r="Q838" s="3"/>
      <c r="R838" s="3"/>
      <c r="S838" s="3"/>
      <c r="T838" s="3"/>
      <c r="U838" s="3"/>
      <c r="V838" s="3"/>
    </row>
    <row r="839" spans="1:22" ht="31.5" x14ac:dyDescent="0.5">
      <c r="A839" s="3"/>
      <c r="B839" s="3"/>
      <c r="C839" s="3"/>
      <c r="D839" s="3"/>
      <c r="E839" s="3"/>
      <c r="F839" s="3"/>
      <c r="G839" s="3"/>
      <c r="H839" s="3"/>
      <c r="I839" s="5"/>
      <c r="J839" s="3"/>
      <c r="K839" s="3"/>
      <c r="L839" s="3"/>
      <c r="M839" s="3"/>
      <c r="N839" s="16"/>
      <c r="O839" s="3"/>
      <c r="P839" s="3"/>
      <c r="Q839" s="3"/>
      <c r="R839" s="3"/>
      <c r="S839" s="3"/>
      <c r="T839" s="3"/>
      <c r="U839" s="3"/>
      <c r="V839" s="3"/>
    </row>
    <row r="840" spans="1:22" ht="31.5" x14ac:dyDescent="0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6"/>
      <c r="O840" s="3"/>
      <c r="P840" s="3"/>
      <c r="Q840" s="3"/>
      <c r="R840" s="3"/>
      <c r="S840" s="3"/>
      <c r="T840" s="3"/>
      <c r="U840" s="3"/>
      <c r="V840" s="3"/>
    </row>
    <row r="841" spans="1:22" s="3" customFormat="1" ht="31.5" x14ac:dyDescent="0.5">
      <c r="I841" s="5"/>
      <c r="N841" s="16"/>
    </row>
    <row r="842" spans="1:22" ht="31.5" x14ac:dyDescent="0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6"/>
      <c r="O842" s="3"/>
      <c r="P842" s="3"/>
      <c r="Q842" s="3"/>
      <c r="R842" s="3"/>
      <c r="S842" s="3"/>
      <c r="T842" s="3"/>
      <c r="U842" s="3"/>
      <c r="V842" s="3"/>
    </row>
    <row r="843" spans="1:22" ht="31.5" x14ac:dyDescent="0.5">
      <c r="A843" s="3"/>
      <c r="B843" s="3"/>
      <c r="C843" s="3"/>
      <c r="D843" s="3"/>
      <c r="E843" s="3"/>
      <c r="F843" s="3"/>
      <c r="G843" s="3"/>
      <c r="H843" s="3"/>
      <c r="I843" s="5"/>
      <c r="J843" s="3"/>
      <c r="K843" s="3"/>
      <c r="L843" s="3"/>
      <c r="M843" s="3"/>
      <c r="N843" s="16"/>
      <c r="O843" s="3"/>
      <c r="P843" s="3"/>
      <c r="Q843" s="3"/>
      <c r="R843" s="3"/>
      <c r="S843" s="3"/>
      <c r="T843" s="3"/>
      <c r="U843" s="3"/>
      <c r="V843" s="3"/>
    </row>
    <row r="844" spans="1:22" s="3" customFormat="1" ht="31.5" x14ac:dyDescent="0.5">
      <c r="N844" s="16"/>
    </row>
    <row r="845" spans="1:22" s="3" customFormat="1" ht="31.5" x14ac:dyDescent="0.5">
      <c r="N845" s="16"/>
    </row>
    <row r="846" spans="1:22" s="3" customFormat="1" ht="31.5" x14ac:dyDescent="0.5">
      <c r="N846" s="16"/>
    </row>
    <row r="847" spans="1:22" s="3" customFormat="1" ht="31.5" x14ac:dyDescent="0.5">
      <c r="N847" s="16"/>
    </row>
    <row r="848" spans="1:22" ht="31.5" x14ac:dyDescent="0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6"/>
      <c r="O848" s="3"/>
      <c r="P848" s="3"/>
      <c r="Q848" s="3"/>
      <c r="R848" s="3"/>
      <c r="S848" s="3"/>
      <c r="T848" s="3"/>
      <c r="U848" s="3"/>
      <c r="V848" s="3"/>
    </row>
    <row r="849" spans="1:22" ht="31.5" x14ac:dyDescent="0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6"/>
      <c r="O849" s="3"/>
      <c r="P849" s="3"/>
      <c r="Q849" s="3"/>
      <c r="R849" s="3"/>
      <c r="S849" s="3"/>
      <c r="T849" s="3"/>
      <c r="U849" s="3"/>
      <c r="V849" s="3"/>
    </row>
    <row r="850" spans="1:22" ht="31.5" x14ac:dyDescent="0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6"/>
      <c r="O850" s="3"/>
      <c r="P850" s="3"/>
      <c r="Q850" s="3"/>
      <c r="R850" s="3"/>
      <c r="S850" s="3"/>
      <c r="T850" s="3"/>
      <c r="U850" s="3"/>
      <c r="V850" s="3"/>
    </row>
    <row r="851" spans="1:22" ht="31.5" x14ac:dyDescent="0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6"/>
      <c r="O851" s="3"/>
      <c r="P851" s="3"/>
      <c r="Q851" s="3"/>
      <c r="R851" s="3"/>
      <c r="S851" s="3"/>
      <c r="T851" s="3"/>
      <c r="U851" s="3"/>
      <c r="V851" s="3"/>
    </row>
    <row r="852" spans="1:22" s="3" customFormat="1" ht="31.5" x14ac:dyDescent="0.5">
      <c r="N852" s="16"/>
    </row>
    <row r="853" spans="1:22" s="3" customFormat="1" ht="31.5" x14ac:dyDescent="0.5">
      <c r="I853" s="5"/>
      <c r="N853" s="16"/>
    </row>
    <row r="854" spans="1:22" ht="31.5" x14ac:dyDescent="0.5">
      <c r="A854" s="3"/>
      <c r="B854" s="3"/>
      <c r="C854" s="3"/>
      <c r="D854" s="3"/>
      <c r="E854" s="3"/>
      <c r="F854" s="3"/>
      <c r="G854" s="3"/>
      <c r="H854" s="3"/>
      <c r="I854" s="5"/>
      <c r="J854" s="3"/>
      <c r="K854" s="3"/>
      <c r="L854" s="3"/>
      <c r="M854" s="3"/>
      <c r="N854" s="16"/>
      <c r="O854" s="3"/>
      <c r="P854" s="3"/>
      <c r="Q854" s="3"/>
      <c r="R854" s="3"/>
      <c r="S854" s="3"/>
      <c r="T854" s="3"/>
      <c r="U854" s="3"/>
      <c r="V854" s="3"/>
    </row>
    <row r="855" spans="1:22" s="3" customFormat="1" ht="31.5" x14ac:dyDescent="0.5">
      <c r="I855" s="5"/>
      <c r="N855" s="16"/>
    </row>
    <row r="856" spans="1:22" s="3" customFormat="1" ht="31.5" x14ac:dyDescent="0.5">
      <c r="I856" s="5"/>
      <c r="N856" s="16"/>
    </row>
    <row r="857" spans="1:22" ht="31.5" x14ac:dyDescent="0.5">
      <c r="A857" s="3"/>
      <c r="B857" s="3"/>
      <c r="C857" s="3"/>
      <c r="D857" s="3"/>
      <c r="E857" s="3"/>
      <c r="F857" s="3"/>
      <c r="G857" s="3"/>
      <c r="H857" s="3"/>
      <c r="I857" s="5"/>
      <c r="J857" s="3"/>
      <c r="K857" s="3"/>
      <c r="L857" s="3"/>
      <c r="M857" s="3"/>
      <c r="N857" s="16"/>
      <c r="O857" s="3"/>
      <c r="P857" s="3"/>
      <c r="Q857" s="3"/>
      <c r="R857" s="3"/>
      <c r="S857" s="3"/>
      <c r="T857" s="3"/>
      <c r="U857" s="3"/>
      <c r="V857" s="3"/>
    </row>
    <row r="858" spans="1:22" s="3" customFormat="1" ht="31.5" x14ac:dyDescent="0.5">
      <c r="I858" s="5"/>
      <c r="N858" s="16"/>
    </row>
    <row r="859" spans="1:22" s="3" customFormat="1" ht="31.5" x14ac:dyDescent="0.5">
      <c r="N859" s="16"/>
    </row>
    <row r="860" spans="1:22" s="3" customFormat="1" ht="31.5" x14ac:dyDescent="0.5">
      <c r="I860" s="5"/>
      <c r="N860" s="16"/>
    </row>
    <row r="861" spans="1:22" s="3" customFormat="1" ht="31.5" x14ac:dyDescent="0.5">
      <c r="I861" s="5"/>
      <c r="N861" s="16"/>
    </row>
    <row r="862" spans="1:22" s="3" customFormat="1" ht="31.5" x14ac:dyDescent="0.5">
      <c r="I862" s="5"/>
      <c r="N862" s="16"/>
    </row>
    <row r="863" spans="1:22" s="3" customFormat="1" ht="31.5" x14ac:dyDescent="0.5">
      <c r="I863" s="5"/>
      <c r="N863" s="16"/>
    </row>
    <row r="864" spans="1:22" s="3" customFormat="1" ht="31.5" x14ac:dyDescent="0.5">
      <c r="I864" s="5"/>
      <c r="N864" s="16"/>
    </row>
    <row r="865" spans="1:22" ht="31.5" x14ac:dyDescent="0.5">
      <c r="A865" s="3"/>
      <c r="B865" s="3"/>
      <c r="C865" s="3"/>
      <c r="D865" s="3"/>
      <c r="E865" s="3"/>
      <c r="F865" s="3"/>
      <c r="G865" s="3"/>
      <c r="H865" s="3"/>
      <c r="I865" s="5"/>
      <c r="J865" s="3"/>
      <c r="K865" s="3"/>
      <c r="L865" s="3"/>
      <c r="M865" s="3"/>
      <c r="N865" s="16"/>
      <c r="O865" s="3"/>
      <c r="P865" s="3"/>
      <c r="Q865" s="3"/>
      <c r="R865" s="3"/>
      <c r="S865" s="3"/>
      <c r="T865" s="3"/>
      <c r="U865" s="3"/>
      <c r="V865" s="3"/>
    </row>
    <row r="866" spans="1:22" ht="31.5" x14ac:dyDescent="0.5">
      <c r="A866" s="3"/>
      <c r="B866" s="3"/>
      <c r="C866" s="3"/>
      <c r="D866" s="3"/>
      <c r="E866" s="3"/>
      <c r="F866" s="3"/>
      <c r="G866" s="3"/>
      <c r="H866" s="3"/>
      <c r="I866" s="5"/>
      <c r="J866" s="3"/>
      <c r="K866" s="3"/>
      <c r="L866" s="3"/>
      <c r="M866" s="3"/>
      <c r="N866" s="16"/>
      <c r="O866" s="3"/>
      <c r="P866" s="3"/>
      <c r="Q866" s="3"/>
      <c r="R866" s="3"/>
      <c r="S866" s="3"/>
      <c r="T866" s="3"/>
      <c r="U866" s="3"/>
      <c r="V866" s="3"/>
    </row>
    <row r="867" spans="1:22" ht="31.5" x14ac:dyDescent="0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6"/>
      <c r="O867" s="3"/>
      <c r="P867" s="3"/>
      <c r="Q867" s="3"/>
      <c r="R867" s="3"/>
      <c r="S867" s="3"/>
      <c r="T867" s="3"/>
      <c r="U867" s="3"/>
      <c r="V867" s="3"/>
    </row>
    <row r="868" spans="1:22" s="3" customFormat="1" ht="31.5" x14ac:dyDescent="0.5">
      <c r="I868" s="5"/>
      <c r="N868" s="16"/>
    </row>
    <row r="869" spans="1:22" ht="31.5" x14ac:dyDescent="0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6"/>
      <c r="O869" s="3"/>
      <c r="P869" s="3"/>
      <c r="Q869" s="3"/>
      <c r="R869" s="3"/>
      <c r="S869" s="3"/>
      <c r="T869" s="3"/>
      <c r="U869" s="3"/>
      <c r="V869" s="3"/>
    </row>
    <row r="870" spans="1:22" ht="31.5" x14ac:dyDescent="0.5">
      <c r="A870" s="3"/>
      <c r="B870" s="3"/>
      <c r="C870" s="3"/>
      <c r="D870" s="3"/>
      <c r="E870" s="3"/>
      <c r="F870" s="3"/>
      <c r="G870" s="3"/>
      <c r="H870" s="3"/>
      <c r="I870" s="5"/>
      <c r="J870" s="3"/>
      <c r="K870" s="3"/>
      <c r="L870" s="3"/>
      <c r="M870" s="3"/>
      <c r="N870" s="16"/>
      <c r="O870" s="3"/>
      <c r="P870" s="3"/>
      <c r="Q870" s="3"/>
      <c r="R870" s="3"/>
      <c r="S870" s="3"/>
      <c r="T870" s="3"/>
      <c r="U870" s="3"/>
      <c r="V870" s="3"/>
    </row>
    <row r="871" spans="1:22" ht="31.5" x14ac:dyDescent="0.5">
      <c r="A871" s="3"/>
      <c r="B871" s="3"/>
      <c r="C871" s="3"/>
      <c r="D871" s="3"/>
      <c r="E871" s="3"/>
      <c r="F871" s="3"/>
      <c r="G871" s="3"/>
      <c r="H871" s="3"/>
      <c r="I871" s="5"/>
      <c r="J871" s="3"/>
      <c r="K871" s="3"/>
      <c r="L871" s="3"/>
      <c r="M871" s="3"/>
      <c r="N871" s="16"/>
      <c r="O871" s="3"/>
      <c r="P871" s="3"/>
      <c r="Q871" s="3"/>
      <c r="R871" s="3"/>
      <c r="S871" s="3"/>
      <c r="T871" s="3"/>
      <c r="U871" s="3"/>
      <c r="V871" s="3"/>
    </row>
    <row r="872" spans="1:22" ht="31.5" x14ac:dyDescent="0.5">
      <c r="A872" s="3"/>
      <c r="B872" s="3"/>
      <c r="C872" s="3"/>
      <c r="D872" s="3"/>
      <c r="E872" s="3"/>
      <c r="F872" s="3"/>
      <c r="G872" s="3"/>
      <c r="H872" s="3"/>
      <c r="I872" s="5"/>
      <c r="J872" s="3"/>
      <c r="K872" s="3"/>
      <c r="L872" s="3"/>
      <c r="M872" s="3"/>
      <c r="N872" s="16"/>
      <c r="O872" s="3"/>
      <c r="P872" s="3"/>
      <c r="Q872" s="3"/>
      <c r="R872" s="3"/>
      <c r="S872" s="3"/>
      <c r="T872" s="3"/>
      <c r="U872" s="3"/>
      <c r="V872" s="3"/>
    </row>
    <row r="873" spans="1:22" ht="31.5" x14ac:dyDescent="0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6"/>
      <c r="O873" s="3"/>
      <c r="P873" s="3"/>
      <c r="Q873" s="3"/>
      <c r="R873" s="3"/>
      <c r="S873" s="3"/>
      <c r="T873" s="3"/>
      <c r="U873" s="3"/>
      <c r="V873" s="3"/>
    </row>
    <row r="874" spans="1:22" s="3" customFormat="1" ht="31.5" x14ac:dyDescent="0.5">
      <c r="I874" s="5"/>
      <c r="N874" s="16"/>
    </row>
    <row r="875" spans="1:22" s="3" customFormat="1" ht="31.5" x14ac:dyDescent="0.5">
      <c r="N875" s="16"/>
    </row>
    <row r="876" spans="1:22" s="3" customFormat="1" ht="31.5" x14ac:dyDescent="0.5">
      <c r="N876" s="16"/>
    </row>
    <row r="877" spans="1:22" s="3" customFormat="1" ht="31.5" x14ac:dyDescent="0.5">
      <c r="N877" s="16"/>
    </row>
    <row r="878" spans="1:22" s="3" customFormat="1" ht="31.5" x14ac:dyDescent="0.5">
      <c r="N878" s="16"/>
    </row>
    <row r="879" spans="1:22" s="3" customFormat="1" ht="31.5" x14ac:dyDescent="0.5">
      <c r="N879" s="16"/>
    </row>
    <row r="880" spans="1:22" s="3" customFormat="1" ht="31.5" x14ac:dyDescent="0.5">
      <c r="I880" s="5"/>
      <c r="N880" s="16"/>
    </row>
    <row r="881" spans="1:22" s="3" customFormat="1" ht="31.5" x14ac:dyDescent="0.5">
      <c r="I881" s="5"/>
      <c r="N881" s="16"/>
    </row>
    <row r="882" spans="1:22" s="3" customFormat="1" ht="31.5" x14ac:dyDescent="0.5">
      <c r="I882" s="5"/>
      <c r="N882" s="16"/>
    </row>
    <row r="883" spans="1:22" s="3" customFormat="1" ht="31.5" x14ac:dyDescent="0.5">
      <c r="N883" s="16"/>
    </row>
    <row r="884" spans="1:22" ht="31.5" x14ac:dyDescent="0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6"/>
      <c r="O884" s="3"/>
      <c r="P884" s="3"/>
      <c r="Q884" s="3"/>
      <c r="R884" s="3"/>
      <c r="S884" s="3"/>
      <c r="T884" s="3"/>
      <c r="U884" s="3"/>
      <c r="V884" s="3"/>
    </row>
    <row r="885" spans="1:22" ht="31.5" x14ac:dyDescent="0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6"/>
      <c r="O885" s="3"/>
      <c r="P885" s="3"/>
      <c r="Q885" s="3"/>
      <c r="R885" s="3"/>
      <c r="S885" s="3"/>
      <c r="T885" s="3"/>
      <c r="U885" s="3"/>
      <c r="V885" s="3"/>
    </row>
    <row r="886" spans="1:22" ht="31.5" x14ac:dyDescent="0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6"/>
      <c r="O886" s="3"/>
      <c r="P886" s="3"/>
      <c r="Q886" s="3"/>
      <c r="R886" s="3"/>
      <c r="S886" s="3"/>
      <c r="T886" s="3"/>
      <c r="U886" s="3"/>
      <c r="V886" s="3"/>
    </row>
    <row r="887" spans="1:22" ht="31.5" x14ac:dyDescent="0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6"/>
      <c r="O887" s="3"/>
      <c r="P887" s="3"/>
      <c r="Q887" s="3"/>
      <c r="R887" s="3"/>
      <c r="S887" s="3"/>
      <c r="T887" s="3"/>
      <c r="U887" s="3"/>
      <c r="V887" s="3"/>
    </row>
    <row r="888" spans="1:22" s="3" customFormat="1" ht="31.5" x14ac:dyDescent="0.5">
      <c r="I888" s="5"/>
      <c r="N888" s="16"/>
    </row>
    <row r="889" spans="1:22" s="3" customFormat="1" ht="31.5" x14ac:dyDescent="0.5">
      <c r="I889" s="5"/>
      <c r="N889" s="16"/>
    </row>
    <row r="890" spans="1:22" s="3" customFormat="1" ht="31.5" x14ac:dyDescent="0.5">
      <c r="I890" s="5"/>
      <c r="N890" s="16"/>
    </row>
    <row r="891" spans="1:22" s="3" customFormat="1" ht="31.5" x14ac:dyDescent="0.5">
      <c r="I891" s="5"/>
      <c r="N891" s="16"/>
    </row>
    <row r="892" spans="1:22" s="3" customFormat="1" ht="31.5" x14ac:dyDescent="0.5">
      <c r="I892" s="5"/>
      <c r="N892" s="16"/>
    </row>
    <row r="893" spans="1:22" ht="31.5" x14ac:dyDescent="0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6"/>
      <c r="O893" s="3"/>
      <c r="P893" s="3"/>
      <c r="Q893" s="3"/>
      <c r="R893" s="3"/>
      <c r="S893" s="3"/>
      <c r="T893" s="3"/>
      <c r="U893" s="3"/>
      <c r="V893" s="3"/>
    </row>
    <row r="894" spans="1:22" ht="31.5" x14ac:dyDescent="0.5">
      <c r="A894" s="3"/>
      <c r="B894" s="3"/>
      <c r="C894" s="3"/>
      <c r="D894" s="3"/>
      <c r="E894" s="3"/>
      <c r="F894" s="3"/>
      <c r="G894" s="3"/>
      <c r="H894" s="3"/>
      <c r="I894" s="5"/>
      <c r="J894" s="3"/>
      <c r="K894" s="3"/>
      <c r="L894" s="3"/>
      <c r="M894" s="3"/>
      <c r="N894" s="16"/>
      <c r="O894" s="3"/>
      <c r="P894" s="3"/>
      <c r="Q894" s="3"/>
      <c r="R894" s="3"/>
      <c r="S894" s="3"/>
      <c r="T894" s="3"/>
      <c r="U894" s="3"/>
      <c r="V894" s="3"/>
    </row>
    <row r="895" spans="1:22" s="3" customFormat="1" ht="31.5" x14ac:dyDescent="0.5">
      <c r="I895" s="5"/>
      <c r="N895" s="16"/>
    </row>
    <row r="896" spans="1:22" s="3" customFormat="1" ht="31.5" x14ac:dyDescent="0.5">
      <c r="N896" s="16"/>
    </row>
    <row r="897" spans="1:22" s="3" customFormat="1" ht="31.5" x14ac:dyDescent="0.5">
      <c r="N897" s="16"/>
    </row>
    <row r="898" spans="1:22" s="3" customFormat="1" ht="31.5" x14ac:dyDescent="0.5">
      <c r="N898" s="16"/>
    </row>
    <row r="899" spans="1:22" s="3" customFormat="1" ht="31.5" x14ac:dyDescent="0.5">
      <c r="N899" s="16"/>
    </row>
    <row r="900" spans="1:22" s="3" customFormat="1" ht="31.5" x14ac:dyDescent="0.5">
      <c r="I900" s="5"/>
      <c r="N900" s="16"/>
    </row>
    <row r="901" spans="1:22" s="3" customFormat="1" ht="31.5" x14ac:dyDescent="0.5">
      <c r="I901" s="5"/>
      <c r="N901" s="16"/>
    </row>
    <row r="902" spans="1:22" s="3" customFormat="1" ht="31.5" x14ac:dyDescent="0.5">
      <c r="I902" s="5"/>
      <c r="N902" s="16"/>
    </row>
    <row r="903" spans="1:22" s="3" customFormat="1" ht="31.5" x14ac:dyDescent="0.5">
      <c r="I903" s="5"/>
      <c r="N903" s="16"/>
    </row>
    <row r="904" spans="1:22" s="3" customFormat="1" ht="31.5" x14ac:dyDescent="0.5">
      <c r="N904" s="16"/>
    </row>
    <row r="905" spans="1:22" s="3" customFormat="1" ht="31.5" x14ac:dyDescent="0.5">
      <c r="N905" s="16"/>
    </row>
    <row r="906" spans="1:22" s="3" customFormat="1" ht="31.5" x14ac:dyDescent="0.5">
      <c r="I906" s="5"/>
      <c r="N906" s="16"/>
    </row>
    <row r="907" spans="1:22" ht="31.5" x14ac:dyDescent="0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6"/>
      <c r="O907" s="3"/>
      <c r="P907" s="3"/>
      <c r="Q907" s="3"/>
      <c r="R907" s="3"/>
      <c r="S907" s="3"/>
      <c r="T907" s="3"/>
      <c r="U907" s="3"/>
      <c r="V907" s="3"/>
    </row>
    <row r="908" spans="1:22" ht="31.5" x14ac:dyDescent="0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6"/>
      <c r="O908" s="3"/>
      <c r="P908" s="3"/>
      <c r="Q908" s="3"/>
      <c r="R908" s="3"/>
      <c r="S908" s="3"/>
      <c r="T908" s="3"/>
      <c r="U908" s="3"/>
      <c r="V908" s="3"/>
    </row>
    <row r="909" spans="1:22" s="3" customFormat="1" ht="31.5" x14ac:dyDescent="0.5">
      <c r="I909" s="5"/>
      <c r="N909" s="16"/>
    </row>
    <row r="910" spans="1:22" s="3" customFormat="1" ht="31.5" x14ac:dyDescent="0.5">
      <c r="N910" s="16"/>
    </row>
    <row r="911" spans="1:22" s="3" customFormat="1" ht="31.5" x14ac:dyDescent="0.5">
      <c r="N911" s="16"/>
    </row>
    <row r="912" spans="1:22" s="3" customFormat="1" ht="31.5" x14ac:dyDescent="0.5">
      <c r="N912" s="16"/>
    </row>
    <row r="913" spans="1:22" s="3" customFormat="1" ht="31.5" x14ac:dyDescent="0.5">
      <c r="N913" s="16"/>
    </row>
    <row r="914" spans="1:22" s="3" customFormat="1" ht="31.5" x14ac:dyDescent="0.5">
      <c r="N914" s="16"/>
    </row>
    <row r="915" spans="1:22" s="3" customFormat="1" ht="31.5" x14ac:dyDescent="0.5">
      <c r="N915" s="16"/>
    </row>
    <row r="916" spans="1:22" s="3" customFormat="1" ht="31.5" x14ac:dyDescent="0.5">
      <c r="N916" s="16"/>
    </row>
    <row r="917" spans="1:22" s="3" customFormat="1" ht="31.5" x14ac:dyDescent="0.5">
      <c r="I917" s="5"/>
      <c r="N917" s="16"/>
    </row>
    <row r="918" spans="1:22" s="3" customFormat="1" ht="31.5" x14ac:dyDescent="0.5">
      <c r="I918" s="5"/>
      <c r="N918" s="16"/>
    </row>
    <row r="919" spans="1:22" ht="31.5" x14ac:dyDescent="0.5">
      <c r="A919" s="3"/>
      <c r="B919" s="3"/>
      <c r="C919" s="3"/>
      <c r="D919" s="3"/>
      <c r="E919" s="3"/>
      <c r="F919" s="3"/>
      <c r="G919" s="3"/>
      <c r="H919" s="3"/>
      <c r="I919" s="5"/>
      <c r="J919" s="3"/>
      <c r="K919" s="3"/>
      <c r="L919" s="3"/>
      <c r="M919" s="3"/>
      <c r="N919" s="16"/>
      <c r="O919" s="3"/>
      <c r="P919" s="3"/>
      <c r="Q919" s="3"/>
      <c r="R919" s="3"/>
      <c r="S919" s="3"/>
      <c r="T919" s="3"/>
      <c r="U919" s="3"/>
      <c r="V919" s="3"/>
    </row>
    <row r="920" spans="1:22" s="3" customFormat="1" ht="31.5" x14ac:dyDescent="0.5">
      <c r="N920" s="16"/>
    </row>
    <row r="921" spans="1:22" s="3" customFormat="1" ht="31.5" x14ac:dyDescent="0.5">
      <c r="I921" s="5"/>
      <c r="N921" s="16"/>
    </row>
    <row r="922" spans="1:22" s="3" customFormat="1" ht="31.5" x14ac:dyDescent="0.5">
      <c r="I922" s="5"/>
      <c r="N922" s="16"/>
    </row>
    <row r="923" spans="1:22" s="3" customFormat="1" ht="31.5" x14ac:dyDescent="0.5">
      <c r="I923" s="5"/>
      <c r="N923" s="16"/>
    </row>
    <row r="924" spans="1:22" s="3" customFormat="1" ht="31.5" x14ac:dyDescent="0.5">
      <c r="I924" s="5"/>
      <c r="N924" s="16"/>
    </row>
    <row r="925" spans="1:22" s="3" customFormat="1" ht="31.5" x14ac:dyDescent="0.5">
      <c r="I925" s="5"/>
      <c r="N925" s="16"/>
    </row>
    <row r="926" spans="1:22" s="3" customFormat="1" ht="31.5" x14ac:dyDescent="0.5">
      <c r="N926" s="16"/>
    </row>
    <row r="927" spans="1:22" s="3" customFormat="1" ht="31.5" x14ac:dyDescent="0.5">
      <c r="N927" s="16"/>
    </row>
    <row r="928" spans="1:22" s="3" customFormat="1" ht="31.5" x14ac:dyDescent="0.5">
      <c r="N928" s="16"/>
    </row>
    <row r="929" spans="1:22" ht="31.5" x14ac:dyDescent="0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6"/>
      <c r="O929" s="3"/>
      <c r="P929" s="3"/>
      <c r="Q929" s="3"/>
      <c r="R929" s="3"/>
      <c r="S929" s="3"/>
      <c r="T929" s="3"/>
      <c r="U929" s="3"/>
      <c r="V929" s="3"/>
    </row>
    <row r="930" spans="1:22" ht="31.5" x14ac:dyDescent="0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6"/>
      <c r="O930" s="3"/>
      <c r="P930" s="3"/>
      <c r="Q930" s="3"/>
      <c r="R930" s="3"/>
      <c r="S930" s="3"/>
      <c r="T930" s="3"/>
      <c r="U930" s="3"/>
      <c r="V930" s="3"/>
    </row>
    <row r="931" spans="1:22" s="3" customFormat="1" ht="31.5" x14ac:dyDescent="0.5">
      <c r="N931" s="16"/>
    </row>
    <row r="932" spans="1:22" s="3" customFormat="1" ht="31.5" x14ac:dyDescent="0.5">
      <c r="N932" s="16"/>
    </row>
    <row r="933" spans="1:22" ht="31.5" x14ac:dyDescent="0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6"/>
      <c r="O933" s="3"/>
      <c r="P933" s="3"/>
      <c r="Q933" s="3"/>
      <c r="R933" s="3"/>
      <c r="S933" s="3"/>
      <c r="T933" s="3"/>
      <c r="U933" s="3"/>
      <c r="V933" s="3"/>
    </row>
    <row r="934" spans="1:22" s="3" customFormat="1" ht="31.5" x14ac:dyDescent="0.5">
      <c r="N934" s="16"/>
    </row>
    <row r="935" spans="1:22" ht="31.5" x14ac:dyDescent="0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6"/>
      <c r="O935" s="3"/>
      <c r="P935" s="3"/>
      <c r="Q935" s="3"/>
      <c r="R935" s="3"/>
      <c r="S935" s="3"/>
      <c r="T935" s="3"/>
      <c r="U935" s="3"/>
      <c r="V935" s="3"/>
    </row>
    <row r="936" spans="1:22" ht="31.5" x14ac:dyDescent="0.5">
      <c r="A936" s="3"/>
      <c r="B936" s="3"/>
      <c r="C936" s="3"/>
      <c r="D936" s="3"/>
      <c r="E936" s="3"/>
      <c r="F936" s="3"/>
      <c r="G936" s="3"/>
      <c r="H936" s="3"/>
      <c r="I936" s="5"/>
      <c r="J936" s="3"/>
      <c r="K936" s="3"/>
      <c r="L936" s="3"/>
      <c r="M936" s="3"/>
      <c r="N936" s="16"/>
      <c r="O936" s="3"/>
      <c r="P936" s="3"/>
      <c r="Q936" s="3"/>
      <c r="R936" s="3"/>
      <c r="S936" s="3"/>
      <c r="T936" s="3"/>
      <c r="U936" s="3"/>
      <c r="V936" s="3"/>
    </row>
    <row r="937" spans="1:22" ht="31.5" x14ac:dyDescent="0.5">
      <c r="A937" s="3"/>
      <c r="B937" s="3"/>
      <c r="C937" s="3"/>
      <c r="D937" s="3"/>
      <c r="E937" s="3"/>
      <c r="F937" s="3"/>
      <c r="G937" s="3"/>
      <c r="H937" s="3"/>
      <c r="I937" s="5"/>
      <c r="J937" s="3"/>
      <c r="K937" s="3"/>
      <c r="L937" s="3"/>
      <c r="M937" s="3"/>
      <c r="N937" s="16"/>
      <c r="O937" s="3"/>
      <c r="P937" s="3"/>
      <c r="Q937" s="3"/>
      <c r="R937" s="3"/>
      <c r="S937" s="3"/>
      <c r="T937" s="3"/>
      <c r="U937" s="3"/>
      <c r="V937" s="3"/>
    </row>
    <row r="938" spans="1:22" ht="31.5" x14ac:dyDescent="0.5">
      <c r="A938" s="3"/>
      <c r="B938" s="3"/>
      <c r="C938" s="3"/>
      <c r="D938" s="3"/>
      <c r="E938" s="3"/>
      <c r="F938" s="3"/>
      <c r="G938" s="3"/>
      <c r="H938" s="3"/>
      <c r="I938" s="5"/>
      <c r="J938" s="3"/>
      <c r="K938" s="3"/>
      <c r="L938" s="3"/>
      <c r="M938" s="3"/>
      <c r="N938" s="16"/>
      <c r="O938" s="3"/>
      <c r="P938" s="3"/>
      <c r="Q938" s="3"/>
      <c r="R938" s="3"/>
      <c r="S938" s="3"/>
      <c r="T938" s="3"/>
      <c r="U938" s="3"/>
      <c r="V938" s="3"/>
    </row>
    <row r="939" spans="1:22" ht="31.5" x14ac:dyDescent="0.5">
      <c r="A939" s="3"/>
      <c r="B939" s="3"/>
      <c r="C939" s="3"/>
      <c r="D939" s="3"/>
      <c r="E939" s="3"/>
      <c r="F939" s="3"/>
      <c r="G939" s="3"/>
      <c r="H939" s="3"/>
      <c r="I939" s="5"/>
      <c r="J939" s="3"/>
      <c r="K939" s="3"/>
      <c r="L939" s="3"/>
      <c r="M939" s="3"/>
      <c r="N939" s="16"/>
      <c r="O939" s="3"/>
      <c r="P939" s="3"/>
      <c r="Q939" s="3"/>
      <c r="R939" s="3"/>
      <c r="S939" s="3"/>
      <c r="T939" s="3"/>
      <c r="U939" s="3"/>
      <c r="V939" s="3"/>
    </row>
    <row r="940" spans="1:22" ht="31.5" x14ac:dyDescent="0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6"/>
      <c r="O940" s="3"/>
      <c r="P940" s="3"/>
      <c r="Q940" s="3"/>
      <c r="R940" s="3"/>
      <c r="S940" s="3"/>
      <c r="T940" s="3"/>
      <c r="U940" s="3"/>
      <c r="V940" s="3"/>
    </row>
    <row r="941" spans="1:22" ht="31.5" x14ac:dyDescent="0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6"/>
      <c r="O941" s="3"/>
      <c r="P941" s="3"/>
      <c r="Q941" s="3"/>
      <c r="R941" s="3"/>
      <c r="S941" s="3"/>
      <c r="T941" s="3"/>
      <c r="U941" s="3"/>
      <c r="V941" s="3"/>
    </row>
    <row r="942" spans="1:22" ht="31.5" x14ac:dyDescent="0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6"/>
      <c r="O942" s="3"/>
      <c r="P942" s="3"/>
      <c r="Q942" s="3"/>
      <c r="R942" s="3"/>
      <c r="S942" s="3"/>
      <c r="T942" s="3"/>
      <c r="U942" s="3"/>
      <c r="V942" s="3"/>
    </row>
    <row r="943" spans="1:22" ht="31.5" x14ac:dyDescent="0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6"/>
      <c r="O943" s="3"/>
      <c r="P943" s="3"/>
      <c r="Q943" s="3"/>
      <c r="R943" s="3"/>
      <c r="S943" s="3"/>
      <c r="T943" s="3"/>
      <c r="U943" s="3"/>
      <c r="V943" s="3"/>
    </row>
    <row r="944" spans="1:22" ht="31.5" x14ac:dyDescent="0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6"/>
      <c r="O944" s="3"/>
      <c r="P944" s="3"/>
      <c r="Q944" s="3"/>
      <c r="R944" s="3"/>
      <c r="S944" s="3"/>
      <c r="T944" s="3"/>
      <c r="U944" s="3"/>
      <c r="V944" s="3"/>
    </row>
    <row r="945" spans="1:22" ht="31.5" x14ac:dyDescent="0.5">
      <c r="A945" s="3"/>
      <c r="B945" s="3"/>
      <c r="C945" s="3"/>
      <c r="D945" s="3"/>
      <c r="E945" s="3"/>
      <c r="F945" s="3"/>
      <c r="G945" s="3"/>
      <c r="H945" s="3"/>
      <c r="I945" s="5"/>
      <c r="J945" s="3"/>
      <c r="K945" s="3"/>
      <c r="L945" s="3"/>
      <c r="M945" s="3"/>
      <c r="N945" s="16"/>
      <c r="O945" s="3"/>
      <c r="P945" s="3"/>
      <c r="Q945" s="3"/>
      <c r="R945" s="3"/>
      <c r="S945" s="3"/>
      <c r="T945" s="3"/>
      <c r="U945" s="3"/>
      <c r="V945" s="3"/>
    </row>
    <row r="946" spans="1:22" s="3" customFormat="1" ht="31.5" x14ac:dyDescent="0.5">
      <c r="I946" s="5"/>
      <c r="N946" s="16"/>
    </row>
    <row r="947" spans="1:22" s="3" customFormat="1" ht="31.5" x14ac:dyDescent="0.5">
      <c r="N947" s="16"/>
    </row>
    <row r="948" spans="1:22" ht="31.5" x14ac:dyDescent="0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6"/>
      <c r="O948" s="3"/>
      <c r="P948" s="3"/>
      <c r="Q948" s="3"/>
      <c r="R948" s="3"/>
      <c r="S948" s="3"/>
      <c r="T948" s="3"/>
      <c r="U948" s="3"/>
      <c r="V948" s="3"/>
    </row>
    <row r="949" spans="1:22" ht="31.5" x14ac:dyDescent="0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6"/>
      <c r="O949" s="3"/>
      <c r="P949" s="3"/>
      <c r="Q949" s="3"/>
      <c r="R949" s="3"/>
      <c r="S949" s="3"/>
      <c r="T949" s="3"/>
      <c r="U949" s="3"/>
      <c r="V949" s="3"/>
    </row>
    <row r="950" spans="1:22" s="3" customFormat="1" ht="31.5" x14ac:dyDescent="0.5">
      <c r="N950" s="16"/>
    </row>
    <row r="951" spans="1:22" s="3" customFormat="1" ht="31.5" x14ac:dyDescent="0.5">
      <c r="N951" s="16"/>
    </row>
    <row r="952" spans="1:22" s="3" customFormat="1" ht="31.5" x14ac:dyDescent="0.5">
      <c r="N952" s="16"/>
    </row>
    <row r="953" spans="1:22" ht="31.5" x14ac:dyDescent="0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6"/>
      <c r="O953" s="3"/>
      <c r="P953" s="3"/>
      <c r="Q953" s="3"/>
      <c r="R953" s="3"/>
      <c r="S953" s="3"/>
      <c r="T953" s="3"/>
      <c r="U953" s="3"/>
      <c r="V953" s="3"/>
    </row>
    <row r="954" spans="1:22" ht="31.5" x14ac:dyDescent="0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6"/>
      <c r="O954" s="3"/>
      <c r="P954" s="3"/>
      <c r="Q954" s="3"/>
      <c r="R954" s="3"/>
      <c r="S954" s="3"/>
      <c r="T954" s="3"/>
      <c r="U954" s="3"/>
      <c r="V954" s="3"/>
    </row>
    <row r="955" spans="1:22" ht="31.5" x14ac:dyDescent="0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6"/>
      <c r="O955" s="3"/>
      <c r="P955" s="3"/>
      <c r="Q955" s="3"/>
      <c r="R955" s="3"/>
      <c r="S955" s="3"/>
      <c r="T955" s="3"/>
      <c r="U955" s="3"/>
      <c r="V955" s="3"/>
    </row>
    <row r="956" spans="1:22" ht="31.5" x14ac:dyDescent="0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6"/>
      <c r="O956" s="3"/>
      <c r="P956" s="3"/>
      <c r="Q956" s="3"/>
      <c r="R956" s="3"/>
      <c r="S956" s="3"/>
      <c r="T956" s="3"/>
      <c r="U956" s="3"/>
      <c r="V956" s="3"/>
    </row>
    <row r="957" spans="1:22" ht="31.5" x14ac:dyDescent="0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6"/>
      <c r="O957" s="3"/>
      <c r="P957" s="3"/>
      <c r="Q957" s="3"/>
      <c r="R957" s="3"/>
      <c r="S957" s="3"/>
      <c r="T957" s="3"/>
      <c r="U957" s="3"/>
      <c r="V957" s="3"/>
    </row>
    <row r="958" spans="1:22" ht="31.5" x14ac:dyDescent="0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6"/>
      <c r="O958" s="3"/>
      <c r="P958" s="3"/>
      <c r="Q958" s="3"/>
      <c r="R958" s="3"/>
      <c r="S958" s="3"/>
      <c r="T958" s="3"/>
      <c r="U958" s="3"/>
      <c r="V958" s="3"/>
    </row>
    <row r="959" spans="1:22" s="3" customFormat="1" ht="31.5" x14ac:dyDescent="0.5">
      <c r="I959" s="5"/>
      <c r="N959" s="16"/>
    </row>
    <row r="960" spans="1:22" s="3" customFormat="1" ht="31.5" x14ac:dyDescent="0.5">
      <c r="I960" s="5"/>
      <c r="N960" s="16"/>
    </row>
    <row r="961" spans="1:22" ht="31.5" x14ac:dyDescent="0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6"/>
      <c r="O961" s="3"/>
      <c r="P961" s="3"/>
      <c r="Q961" s="3"/>
      <c r="R961" s="3"/>
      <c r="S961" s="3"/>
      <c r="T961" s="3"/>
      <c r="U961" s="3"/>
      <c r="V961" s="3"/>
    </row>
    <row r="962" spans="1:22" ht="31.5" x14ac:dyDescent="0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6"/>
      <c r="O962" s="3"/>
      <c r="P962" s="3"/>
      <c r="Q962" s="3"/>
      <c r="R962" s="3"/>
      <c r="S962" s="3"/>
      <c r="T962" s="3"/>
      <c r="U962" s="3"/>
      <c r="V962" s="3"/>
    </row>
    <row r="963" spans="1:22" ht="31.5" x14ac:dyDescent="0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6"/>
      <c r="O963" s="3"/>
      <c r="P963" s="3"/>
      <c r="Q963" s="3"/>
      <c r="R963" s="3"/>
      <c r="S963" s="3"/>
      <c r="T963" s="3"/>
      <c r="U963" s="3"/>
      <c r="V963" s="3"/>
    </row>
    <row r="964" spans="1:22" ht="31.5" x14ac:dyDescent="0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6"/>
      <c r="O964" s="3"/>
      <c r="P964" s="3"/>
      <c r="Q964" s="3"/>
      <c r="R964" s="3"/>
      <c r="S964" s="3"/>
      <c r="T964" s="3"/>
      <c r="U964" s="3"/>
      <c r="V964" s="3"/>
    </row>
    <row r="965" spans="1:22" ht="31.5" x14ac:dyDescent="0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6"/>
      <c r="O965" s="3"/>
      <c r="P965" s="3"/>
      <c r="Q965" s="3"/>
      <c r="R965" s="3"/>
      <c r="S965" s="3"/>
      <c r="T965" s="3"/>
      <c r="U965" s="3"/>
      <c r="V965" s="3"/>
    </row>
    <row r="966" spans="1:22" ht="31.5" x14ac:dyDescent="0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6"/>
      <c r="O966" s="3"/>
      <c r="P966" s="3"/>
      <c r="Q966" s="3"/>
      <c r="R966" s="3"/>
      <c r="S966" s="3"/>
      <c r="T966" s="3"/>
      <c r="U966" s="3"/>
      <c r="V966" s="3"/>
    </row>
    <row r="967" spans="1:22" s="3" customFormat="1" ht="31.5" x14ac:dyDescent="0.5">
      <c r="N967" s="16"/>
    </row>
    <row r="968" spans="1:22" ht="31.5" x14ac:dyDescent="0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6"/>
      <c r="O968" s="3"/>
      <c r="P968" s="3"/>
      <c r="Q968" s="3"/>
      <c r="R968" s="3"/>
      <c r="S968" s="3"/>
      <c r="T968" s="3"/>
      <c r="U968" s="3"/>
      <c r="V968" s="3"/>
    </row>
    <row r="969" spans="1:22" s="3" customFormat="1" ht="31.5" x14ac:dyDescent="0.5">
      <c r="N969" s="16"/>
    </row>
    <row r="970" spans="1:22" s="3" customFormat="1" ht="31.5" x14ac:dyDescent="0.5">
      <c r="N970" s="16"/>
    </row>
    <row r="971" spans="1:22" s="3" customFormat="1" ht="31.5" x14ac:dyDescent="0.5">
      <c r="I971" s="5"/>
      <c r="N971" s="16"/>
    </row>
    <row r="972" spans="1:22" ht="31.5" x14ac:dyDescent="0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6"/>
      <c r="O972" s="3"/>
      <c r="P972" s="3"/>
      <c r="Q972" s="3"/>
      <c r="R972" s="3"/>
      <c r="S972" s="3"/>
      <c r="T972" s="3"/>
      <c r="U972" s="3"/>
      <c r="V972" s="3"/>
    </row>
    <row r="973" spans="1:22" ht="31.5" x14ac:dyDescent="0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6"/>
      <c r="O973" s="3"/>
      <c r="P973" s="3"/>
      <c r="Q973" s="3"/>
      <c r="R973" s="3"/>
      <c r="S973" s="3"/>
      <c r="T973" s="3"/>
      <c r="U973" s="3"/>
      <c r="V973" s="3"/>
    </row>
    <row r="974" spans="1:22" ht="31.5" x14ac:dyDescent="0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6"/>
      <c r="O974" s="3"/>
      <c r="P974" s="3"/>
      <c r="Q974" s="3"/>
      <c r="R974" s="3"/>
      <c r="S974" s="3"/>
      <c r="T974" s="3"/>
      <c r="U974" s="3"/>
      <c r="V974" s="3"/>
    </row>
    <row r="975" spans="1:22" ht="31.5" x14ac:dyDescent="0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6"/>
      <c r="O975" s="3"/>
      <c r="P975" s="3"/>
      <c r="Q975" s="3"/>
      <c r="R975" s="3"/>
      <c r="S975" s="3"/>
      <c r="T975" s="3"/>
      <c r="U975" s="3"/>
      <c r="V975" s="3"/>
    </row>
    <row r="976" spans="1:22" s="3" customFormat="1" ht="31.5" x14ac:dyDescent="0.5">
      <c r="N976" s="16"/>
    </row>
    <row r="977" spans="1:22" ht="31.5" x14ac:dyDescent="0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6"/>
      <c r="O977" s="3"/>
      <c r="P977" s="3"/>
      <c r="Q977" s="3"/>
      <c r="R977" s="3"/>
      <c r="S977" s="3"/>
      <c r="T977" s="3"/>
      <c r="U977" s="3"/>
      <c r="V977" s="3"/>
    </row>
    <row r="978" spans="1:22" s="3" customFormat="1" ht="31.5" x14ac:dyDescent="0.5">
      <c r="N978" s="16"/>
    </row>
    <row r="979" spans="1:22" s="3" customFormat="1" ht="31.5" x14ac:dyDescent="0.5">
      <c r="N979" s="16"/>
    </row>
    <row r="980" spans="1:22" ht="31.5" x14ac:dyDescent="0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6"/>
      <c r="O980" s="3"/>
      <c r="P980" s="3"/>
      <c r="Q980" s="3"/>
      <c r="R980" s="3"/>
      <c r="S980" s="3"/>
      <c r="T980" s="3"/>
      <c r="U980" s="3"/>
      <c r="V980" s="3"/>
    </row>
    <row r="981" spans="1:22" s="3" customFormat="1" ht="31.5" x14ac:dyDescent="0.5">
      <c r="I981" s="5"/>
      <c r="N981" s="16"/>
    </row>
    <row r="982" spans="1:22" s="3" customFormat="1" ht="31.5" x14ac:dyDescent="0.5">
      <c r="I982" s="5"/>
      <c r="N982" s="16"/>
    </row>
    <row r="983" spans="1:22" ht="31.5" x14ac:dyDescent="0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6"/>
      <c r="O983" s="3"/>
      <c r="P983" s="3"/>
      <c r="Q983" s="3"/>
      <c r="R983" s="3"/>
      <c r="S983" s="3"/>
      <c r="T983" s="3"/>
      <c r="U983" s="3"/>
      <c r="V983" s="3"/>
    </row>
    <row r="984" spans="1:22" s="3" customFormat="1" ht="31.5" x14ac:dyDescent="0.5">
      <c r="N984" s="16"/>
    </row>
    <row r="985" spans="1:22" ht="31.5" x14ac:dyDescent="0.5">
      <c r="A985" s="3"/>
      <c r="B985" s="3"/>
      <c r="C985" s="3"/>
      <c r="D985" s="3"/>
      <c r="E985" s="3"/>
      <c r="F985" s="3"/>
      <c r="G985" s="3"/>
      <c r="H985" s="3"/>
      <c r="I985" s="5"/>
      <c r="J985" s="3"/>
      <c r="K985" s="3"/>
      <c r="L985" s="3"/>
      <c r="M985" s="3"/>
      <c r="N985" s="16"/>
      <c r="O985" s="3"/>
      <c r="P985" s="3"/>
      <c r="Q985" s="3"/>
      <c r="R985" s="3"/>
      <c r="S985" s="3"/>
      <c r="T985" s="3"/>
      <c r="U985" s="3"/>
      <c r="V985" s="3"/>
    </row>
    <row r="986" spans="1:22" ht="31.5" x14ac:dyDescent="0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6"/>
      <c r="O986" s="3"/>
      <c r="P986" s="3"/>
      <c r="Q986" s="3"/>
      <c r="R986" s="3"/>
      <c r="S986" s="3"/>
      <c r="T986" s="3"/>
      <c r="U986" s="3"/>
      <c r="V986" s="3"/>
    </row>
    <row r="987" spans="1:22" ht="31.5" x14ac:dyDescent="0.5">
      <c r="A987" s="3"/>
      <c r="B987" s="3"/>
      <c r="C987" s="3"/>
      <c r="D987" s="3"/>
      <c r="E987" s="3"/>
      <c r="F987" s="3"/>
      <c r="G987" s="3"/>
      <c r="H987" s="3"/>
      <c r="I987" s="5"/>
      <c r="J987" s="3"/>
      <c r="K987" s="3"/>
      <c r="L987" s="3"/>
      <c r="M987" s="3"/>
      <c r="N987" s="16"/>
      <c r="O987" s="3"/>
      <c r="P987" s="3"/>
      <c r="Q987" s="3"/>
      <c r="R987" s="3"/>
      <c r="S987" s="3"/>
      <c r="T987" s="3"/>
      <c r="U987" s="3"/>
      <c r="V987" s="3"/>
    </row>
    <row r="988" spans="1:22" s="3" customFormat="1" ht="31.5" x14ac:dyDescent="0.5">
      <c r="I988" s="5"/>
      <c r="N988" s="16"/>
    </row>
    <row r="989" spans="1:22" ht="31.5" x14ac:dyDescent="0.5">
      <c r="A989" s="3"/>
      <c r="B989" s="3"/>
      <c r="C989" s="3"/>
      <c r="D989" s="3"/>
      <c r="E989" s="3"/>
      <c r="F989" s="3"/>
      <c r="G989" s="3"/>
      <c r="H989" s="3"/>
      <c r="I989" s="5"/>
      <c r="J989" s="3"/>
      <c r="K989" s="3"/>
      <c r="L989" s="9"/>
      <c r="M989" s="3"/>
      <c r="N989" s="16"/>
      <c r="O989" s="3"/>
      <c r="P989" s="3"/>
      <c r="Q989" s="3"/>
      <c r="R989" s="3"/>
      <c r="S989" s="3"/>
      <c r="T989" s="3"/>
      <c r="U989" s="3"/>
      <c r="V989" s="3"/>
    </row>
    <row r="990" spans="1:22" s="3" customFormat="1" ht="31.5" x14ac:dyDescent="0.5">
      <c r="I990" s="5"/>
      <c r="N990" s="16"/>
    </row>
    <row r="991" spans="1:22" s="3" customFormat="1" ht="31.5" x14ac:dyDescent="0.5">
      <c r="I991" s="5"/>
      <c r="N991" s="16"/>
    </row>
    <row r="992" spans="1:22" s="3" customFormat="1" ht="31.5" x14ac:dyDescent="0.5">
      <c r="I992" s="5"/>
      <c r="N992" s="16"/>
    </row>
    <row r="993" spans="1:22" ht="31.5" x14ac:dyDescent="0.5">
      <c r="A993" s="3"/>
      <c r="B993" s="3"/>
      <c r="C993" s="3"/>
      <c r="D993" s="3"/>
      <c r="E993" s="3"/>
      <c r="F993" s="3"/>
      <c r="G993" s="3"/>
      <c r="H993" s="3"/>
      <c r="I993" s="5"/>
      <c r="J993" s="3"/>
      <c r="K993" s="3"/>
      <c r="L993" s="3"/>
      <c r="M993" s="3"/>
      <c r="N993" s="16"/>
      <c r="O993" s="3"/>
      <c r="P993" s="3"/>
      <c r="Q993" s="3"/>
      <c r="R993" s="3"/>
      <c r="S993" s="3"/>
      <c r="T993" s="3"/>
      <c r="U993" s="3"/>
      <c r="V993" s="3"/>
    </row>
    <row r="994" spans="1:22" ht="31.5" x14ac:dyDescent="0.5">
      <c r="A994" s="3"/>
      <c r="B994" s="3"/>
      <c r="C994" s="3"/>
      <c r="D994" s="3"/>
      <c r="E994" s="3"/>
      <c r="F994" s="3"/>
      <c r="G994" s="3"/>
      <c r="H994" s="3"/>
      <c r="I994" s="5"/>
      <c r="J994" s="3"/>
      <c r="K994" s="3"/>
      <c r="L994" s="3"/>
      <c r="M994" s="3"/>
      <c r="N994" s="16"/>
      <c r="O994" s="3"/>
      <c r="P994" s="3"/>
      <c r="Q994" s="3"/>
      <c r="R994" s="3"/>
      <c r="S994" s="3"/>
      <c r="T994" s="3"/>
      <c r="U994" s="3"/>
      <c r="V994" s="3"/>
    </row>
    <row r="995" spans="1:22" s="3" customFormat="1" ht="31.5" x14ac:dyDescent="0.5">
      <c r="I995" s="5"/>
      <c r="N995" s="16"/>
    </row>
    <row r="996" spans="1:22" ht="31.5" x14ac:dyDescent="0.5">
      <c r="A996" s="3"/>
      <c r="B996" s="3"/>
      <c r="C996" s="3"/>
      <c r="D996" s="3"/>
      <c r="E996" s="3"/>
      <c r="F996" s="3"/>
      <c r="G996" s="3"/>
      <c r="H996" s="3"/>
      <c r="I996" s="5"/>
      <c r="J996" s="3"/>
      <c r="K996" s="3"/>
      <c r="L996" s="3"/>
      <c r="M996" s="3"/>
      <c r="N996" s="16"/>
      <c r="O996" s="3"/>
      <c r="P996" s="3"/>
      <c r="Q996" s="3"/>
      <c r="R996" s="3"/>
      <c r="S996" s="3"/>
      <c r="T996" s="3"/>
      <c r="U996" s="3"/>
      <c r="V996" s="3"/>
    </row>
    <row r="997" spans="1:22" ht="31.5" x14ac:dyDescent="0.5">
      <c r="A997" s="3"/>
      <c r="B997" s="3"/>
      <c r="C997" s="3"/>
      <c r="D997" s="3"/>
      <c r="E997" s="3"/>
      <c r="F997" s="3"/>
      <c r="G997" s="3"/>
      <c r="H997" s="3"/>
      <c r="I997" s="5"/>
      <c r="J997" s="3"/>
      <c r="K997" s="3"/>
      <c r="L997" s="3"/>
      <c r="M997" s="3"/>
      <c r="N997" s="16"/>
      <c r="O997" s="3"/>
      <c r="P997" s="3"/>
      <c r="Q997" s="3"/>
      <c r="R997" s="3"/>
      <c r="S997" s="3"/>
      <c r="T997" s="3"/>
      <c r="U997" s="3"/>
      <c r="V997" s="3"/>
    </row>
    <row r="998" spans="1:22" ht="31.5" x14ac:dyDescent="0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6"/>
      <c r="O998" s="3"/>
      <c r="P998" s="3"/>
      <c r="Q998" s="3"/>
      <c r="R998" s="3"/>
      <c r="S998" s="3"/>
      <c r="T998" s="3"/>
      <c r="U998" s="3"/>
      <c r="V998" s="3"/>
    </row>
    <row r="999" spans="1:22" ht="31.5" x14ac:dyDescent="0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6"/>
      <c r="O999" s="3"/>
      <c r="P999" s="3"/>
      <c r="Q999" s="3"/>
      <c r="R999" s="3"/>
      <c r="S999" s="3"/>
      <c r="T999" s="3"/>
      <c r="U999" s="3"/>
      <c r="V999" s="3"/>
    </row>
    <row r="1000" spans="1:22" s="3" customFormat="1" ht="31.5" x14ac:dyDescent="0.5">
      <c r="I1000" s="5"/>
      <c r="N1000" s="16"/>
    </row>
    <row r="1001" spans="1:22" s="3" customFormat="1" ht="31.5" x14ac:dyDescent="0.5">
      <c r="I1001" s="5"/>
      <c r="N1001" s="16"/>
    </row>
    <row r="1002" spans="1:22" ht="31.5" x14ac:dyDescent="0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16"/>
      <c r="O1002" s="3"/>
      <c r="P1002" s="3"/>
      <c r="Q1002" s="3"/>
      <c r="R1002" s="3"/>
      <c r="S1002" s="3"/>
      <c r="T1002" s="3"/>
      <c r="U1002" s="3"/>
      <c r="V1002" s="3"/>
    </row>
    <row r="1003" spans="1:22" ht="31.5" x14ac:dyDescent="0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6"/>
      <c r="O1003" s="3"/>
      <c r="P1003" s="3"/>
      <c r="Q1003" s="3"/>
      <c r="R1003" s="3"/>
      <c r="S1003" s="3"/>
      <c r="T1003" s="3"/>
      <c r="U1003" s="3"/>
      <c r="V1003" s="3"/>
    </row>
    <row r="1004" spans="1:22" ht="31.5" x14ac:dyDescent="0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6"/>
      <c r="O1004" s="3"/>
      <c r="P1004" s="3"/>
      <c r="Q1004" s="3"/>
      <c r="R1004" s="3"/>
      <c r="S1004" s="3"/>
      <c r="T1004" s="3"/>
      <c r="U1004" s="3"/>
      <c r="V1004" s="3"/>
    </row>
    <row r="1005" spans="1:22" s="3" customFormat="1" ht="31.5" x14ac:dyDescent="0.5">
      <c r="I1005" s="5"/>
      <c r="N1005" s="16"/>
    </row>
    <row r="1006" spans="1:22" ht="31.5" x14ac:dyDescent="0.5">
      <c r="A1006" s="3"/>
      <c r="B1006" s="3"/>
      <c r="C1006" s="3"/>
      <c r="D1006" s="3"/>
      <c r="E1006" s="3"/>
      <c r="F1006" s="3"/>
      <c r="G1006" s="3"/>
      <c r="H1006" s="3"/>
      <c r="I1006" s="5"/>
      <c r="J1006" s="3"/>
      <c r="K1006" s="3"/>
      <c r="L1006" s="3"/>
      <c r="M1006" s="3"/>
      <c r="N1006" s="16"/>
      <c r="O1006" s="3"/>
      <c r="P1006" s="3"/>
      <c r="Q1006" s="3"/>
      <c r="R1006" s="3"/>
      <c r="S1006" s="3"/>
      <c r="T1006" s="3"/>
      <c r="U1006" s="3"/>
      <c r="V1006" s="3"/>
    </row>
    <row r="1007" spans="1:22" s="3" customFormat="1" ht="31.5" x14ac:dyDescent="0.5">
      <c r="I1007" s="5"/>
      <c r="N1007" s="16"/>
    </row>
    <row r="1008" spans="1:22" s="3" customFormat="1" ht="31.5" x14ac:dyDescent="0.5">
      <c r="I1008" s="5"/>
      <c r="N1008" s="16"/>
    </row>
    <row r="1009" spans="1:22" ht="31.5" x14ac:dyDescent="0.5">
      <c r="A1009" s="3"/>
      <c r="B1009" s="3"/>
      <c r="C1009" s="3"/>
      <c r="D1009" s="3"/>
      <c r="E1009" s="3"/>
      <c r="F1009" s="3"/>
      <c r="G1009" s="3"/>
      <c r="H1009" s="3"/>
      <c r="I1009" s="5"/>
      <c r="J1009" s="3"/>
      <c r="K1009" s="3"/>
      <c r="L1009" s="3"/>
      <c r="M1009" s="3"/>
      <c r="N1009" s="16"/>
      <c r="O1009" s="3"/>
      <c r="P1009" s="3"/>
      <c r="Q1009" s="3"/>
      <c r="R1009" s="3"/>
      <c r="S1009" s="3"/>
      <c r="T1009" s="3"/>
      <c r="U1009" s="3"/>
      <c r="V1009" s="3"/>
    </row>
    <row r="1010" spans="1:22" s="3" customFormat="1" ht="31.5" x14ac:dyDescent="0.5">
      <c r="I1010" s="5"/>
      <c r="N1010" s="16"/>
    </row>
    <row r="1011" spans="1:22" s="3" customFormat="1" ht="31.5" x14ac:dyDescent="0.5">
      <c r="N1011" s="16"/>
    </row>
    <row r="1012" spans="1:22" s="3" customFormat="1" ht="31.5" x14ac:dyDescent="0.5">
      <c r="N1012" s="16"/>
    </row>
    <row r="1013" spans="1:22" s="3" customFormat="1" ht="31.5" x14ac:dyDescent="0.5">
      <c r="I1013" s="5"/>
      <c r="N1013" s="16"/>
    </row>
    <row r="1014" spans="1:22" ht="31.5" x14ac:dyDescent="0.5">
      <c r="A1014" s="3"/>
      <c r="B1014" s="3"/>
      <c r="C1014" s="3"/>
      <c r="D1014" s="3"/>
      <c r="E1014" s="3"/>
      <c r="F1014" s="3"/>
      <c r="G1014" s="3"/>
      <c r="H1014" s="3"/>
      <c r="I1014" s="5"/>
      <c r="J1014" s="3"/>
      <c r="K1014" s="3"/>
      <c r="L1014" s="3"/>
      <c r="M1014" s="3"/>
      <c r="N1014" s="16"/>
      <c r="O1014" s="3"/>
      <c r="P1014" s="3"/>
      <c r="Q1014" s="3"/>
      <c r="R1014" s="3"/>
      <c r="S1014" s="3"/>
      <c r="T1014" s="3"/>
      <c r="U1014" s="3"/>
      <c r="V1014" s="3"/>
    </row>
    <row r="1015" spans="1:22" ht="31.5" x14ac:dyDescent="0.5">
      <c r="A1015" s="3"/>
      <c r="B1015" s="3"/>
      <c r="C1015" s="3"/>
      <c r="D1015" s="3"/>
      <c r="E1015" s="3"/>
      <c r="F1015" s="3"/>
      <c r="G1015" s="3"/>
      <c r="H1015" s="3"/>
      <c r="I1015" s="5"/>
      <c r="J1015" s="3"/>
      <c r="K1015" s="3"/>
      <c r="L1015" s="3"/>
      <c r="M1015" s="3"/>
      <c r="N1015" s="16"/>
      <c r="O1015" s="3"/>
      <c r="P1015" s="3"/>
      <c r="Q1015" s="3"/>
      <c r="R1015" s="3"/>
      <c r="S1015" s="3"/>
      <c r="T1015" s="3"/>
      <c r="U1015" s="3"/>
      <c r="V1015" s="3"/>
    </row>
    <row r="1016" spans="1:22" ht="31.5" x14ac:dyDescent="0.5">
      <c r="A1016" s="3"/>
      <c r="B1016" s="3"/>
      <c r="C1016" s="3"/>
      <c r="D1016" s="3"/>
      <c r="E1016" s="3"/>
      <c r="F1016" s="3"/>
      <c r="G1016" s="3"/>
      <c r="H1016" s="3"/>
      <c r="I1016" s="5"/>
      <c r="J1016" s="3"/>
      <c r="K1016" s="3"/>
      <c r="L1016" s="3"/>
      <c r="M1016" s="3"/>
      <c r="N1016" s="16"/>
      <c r="O1016" s="3"/>
      <c r="P1016" s="3"/>
      <c r="Q1016" s="3"/>
      <c r="R1016" s="3"/>
      <c r="S1016" s="3"/>
      <c r="T1016" s="3"/>
      <c r="U1016" s="3"/>
      <c r="V1016" s="3"/>
    </row>
    <row r="1017" spans="1:22" ht="31.5" x14ac:dyDescent="0.5">
      <c r="A1017" s="3"/>
      <c r="B1017" s="3"/>
      <c r="C1017" s="3"/>
      <c r="D1017" s="3"/>
      <c r="E1017" s="3"/>
      <c r="F1017" s="3"/>
      <c r="G1017" s="3"/>
      <c r="H1017" s="3"/>
      <c r="I1017" s="5"/>
      <c r="J1017" s="3"/>
      <c r="K1017" s="3"/>
      <c r="L1017" s="3"/>
      <c r="M1017" s="3"/>
      <c r="N1017" s="16"/>
      <c r="O1017" s="3"/>
      <c r="P1017" s="3"/>
      <c r="Q1017" s="3"/>
      <c r="R1017" s="3"/>
      <c r="S1017" s="3"/>
      <c r="T1017" s="3"/>
      <c r="U1017" s="3"/>
      <c r="V1017" s="3"/>
    </row>
    <row r="1018" spans="1:22" s="3" customFormat="1" ht="31.5" x14ac:dyDescent="0.5">
      <c r="I1018" s="5"/>
      <c r="N1018" s="16"/>
    </row>
    <row r="1019" spans="1:22" s="3" customFormat="1" ht="31.5" x14ac:dyDescent="0.5">
      <c r="N1019" s="16"/>
    </row>
    <row r="1020" spans="1:22" s="3" customFormat="1" ht="31.5" x14ac:dyDescent="0.5">
      <c r="I1020" s="5"/>
      <c r="N1020" s="16"/>
    </row>
    <row r="1021" spans="1:22" ht="31.5" x14ac:dyDescent="0.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16"/>
      <c r="O1021" s="3"/>
      <c r="P1021" s="3"/>
      <c r="Q1021" s="3"/>
      <c r="R1021" s="3"/>
      <c r="S1021" s="3"/>
      <c r="T1021" s="3"/>
      <c r="U1021" s="3"/>
      <c r="V1021" s="3"/>
    </row>
    <row r="1022" spans="1:22" ht="31.5" x14ac:dyDescent="0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16"/>
      <c r="O1022" s="3"/>
      <c r="P1022" s="3"/>
      <c r="Q1022" s="3"/>
      <c r="R1022" s="3"/>
      <c r="S1022" s="3"/>
      <c r="T1022" s="3"/>
      <c r="U1022" s="3"/>
      <c r="V1022" s="3"/>
    </row>
    <row r="1023" spans="1:22" ht="31.5" x14ac:dyDescent="0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16"/>
      <c r="O1023" s="3"/>
      <c r="P1023" s="3"/>
      <c r="Q1023" s="3"/>
      <c r="R1023" s="3"/>
      <c r="S1023" s="3"/>
      <c r="T1023" s="3"/>
      <c r="U1023" s="3"/>
      <c r="V1023" s="3"/>
    </row>
    <row r="1024" spans="1:22" s="3" customFormat="1" ht="31.5" x14ac:dyDescent="0.5">
      <c r="I1024" s="5"/>
      <c r="N1024" s="16"/>
    </row>
    <row r="1025" spans="1:22" s="3" customFormat="1" ht="31.5" x14ac:dyDescent="0.5">
      <c r="I1025" s="5"/>
      <c r="N1025" s="16"/>
    </row>
    <row r="1026" spans="1:22" ht="31.5" x14ac:dyDescent="0.5">
      <c r="A1026" s="3"/>
      <c r="B1026" s="3"/>
      <c r="C1026" s="3"/>
      <c r="D1026" s="3"/>
      <c r="E1026" s="3"/>
      <c r="F1026" s="3"/>
      <c r="G1026" s="3"/>
      <c r="H1026" s="3"/>
      <c r="I1026" s="5"/>
      <c r="J1026" s="3"/>
      <c r="K1026" s="3"/>
      <c r="L1026" s="3"/>
      <c r="M1026" s="3"/>
      <c r="N1026" s="16"/>
      <c r="O1026" s="3"/>
      <c r="P1026" s="3"/>
      <c r="Q1026" s="3"/>
      <c r="R1026" s="3"/>
      <c r="S1026" s="3"/>
      <c r="T1026" s="3"/>
      <c r="U1026" s="3"/>
      <c r="V1026" s="3"/>
    </row>
    <row r="1027" spans="1:22" ht="31.5" x14ac:dyDescent="0.5">
      <c r="A1027" s="3"/>
      <c r="B1027" s="3"/>
      <c r="C1027" s="3"/>
      <c r="D1027" s="3"/>
      <c r="E1027" s="3"/>
      <c r="F1027" s="3"/>
      <c r="G1027" s="3"/>
      <c r="H1027" s="3"/>
      <c r="I1027" s="5"/>
      <c r="J1027" s="3"/>
      <c r="K1027" s="3"/>
      <c r="L1027" s="3"/>
      <c r="M1027" s="3"/>
      <c r="N1027" s="16"/>
      <c r="O1027" s="3"/>
      <c r="P1027" s="3"/>
      <c r="Q1027" s="3"/>
      <c r="R1027" s="3"/>
      <c r="S1027" s="3"/>
      <c r="T1027" s="3"/>
      <c r="U1027" s="3"/>
      <c r="V1027" s="3"/>
    </row>
    <row r="1028" spans="1:22" s="3" customFormat="1" ht="31.5" x14ac:dyDescent="0.5">
      <c r="N1028" s="16"/>
    </row>
    <row r="1029" spans="1:22" ht="31.5" x14ac:dyDescent="0.5">
      <c r="A1029" s="3"/>
      <c r="B1029" s="3"/>
      <c r="C1029" s="3"/>
      <c r="D1029" s="3"/>
      <c r="E1029" s="3"/>
      <c r="F1029" s="3"/>
      <c r="G1029" s="3"/>
      <c r="H1029" s="3"/>
      <c r="I1029" s="5"/>
      <c r="J1029" s="3"/>
      <c r="K1029" s="3"/>
      <c r="L1029" s="3"/>
      <c r="M1029" s="3"/>
      <c r="N1029" s="16"/>
      <c r="O1029" s="3"/>
      <c r="P1029" s="3"/>
      <c r="Q1029" s="3"/>
      <c r="R1029" s="3"/>
      <c r="S1029" s="3"/>
      <c r="T1029" s="3"/>
      <c r="U1029" s="3"/>
      <c r="V1029" s="3"/>
    </row>
    <row r="1030" spans="1:22" s="3" customFormat="1" ht="31.5" x14ac:dyDescent="0.5">
      <c r="N1030" s="16"/>
    </row>
    <row r="1031" spans="1:22" ht="31.5" x14ac:dyDescent="0.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16"/>
      <c r="O1031" s="3"/>
      <c r="P1031" s="3"/>
      <c r="Q1031" s="3"/>
      <c r="R1031" s="3"/>
      <c r="S1031" s="3"/>
      <c r="T1031" s="3"/>
      <c r="U1031" s="3"/>
      <c r="V1031" s="3"/>
    </row>
    <row r="1032" spans="1:22" ht="31.5" x14ac:dyDescent="0.5">
      <c r="A1032" s="3"/>
      <c r="B1032" s="3"/>
      <c r="C1032" s="3"/>
      <c r="D1032" s="3"/>
      <c r="E1032" s="3"/>
      <c r="F1032" s="3"/>
      <c r="G1032" s="3"/>
      <c r="H1032" s="3"/>
      <c r="I1032" s="5"/>
      <c r="J1032" s="3"/>
      <c r="K1032" s="3"/>
      <c r="L1032" s="3"/>
      <c r="M1032" s="3"/>
      <c r="N1032" s="16"/>
      <c r="O1032" s="3"/>
      <c r="P1032" s="3"/>
      <c r="Q1032" s="3"/>
      <c r="R1032" s="3"/>
      <c r="S1032" s="3"/>
      <c r="T1032" s="3"/>
      <c r="U1032" s="3"/>
      <c r="V1032" s="3"/>
    </row>
    <row r="1033" spans="1:22" ht="31.5" x14ac:dyDescent="0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16"/>
      <c r="O1033" s="3"/>
      <c r="P1033" s="3"/>
      <c r="Q1033" s="3"/>
      <c r="R1033" s="3"/>
      <c r="S1033" s="3"/>
      <c r="T1033" s="3"/>
      <c r="U1033" s="3"/>
      <c r="V1033" s="3"/>
    </row>
    <row r="1034" spans="1:22" s="3" customFormat="1" ht="31.5" x14ac:dyDescent="0.5">
      <c r="N1034" s="16"/>
    </row>
    <row r="1035" spans="1:22" ht="31.5" x14ac:dyDescent="0.5">
      <c r="A1035" s="3"/>
      <c r="B1035" s="3"/>
      <c r="C1035" s="3"/>
      <c r="D1035" s="3"/>
      <c r="E1035" s="3"/>
      <c r="F1035" s="3"/>
      <c r="G1035" s="3"/>
      <c r="H1035" s="3"/>
      <c r="I1035" s="5"/>
      <c r="J1035" s="3"/>
      <c r="K1035" s="3"/>
      <c r="L1035" s="3"/>
      <c r="M1035" s="3"/>
      <c r="N1035" s="16"/>
      <c r="O1035" s="3"/>
      <c r="P1035" s="3"/>
      <c r="Q1035" s="3"/>
      <c r="R1035" s="3"/>
      <c r="S1035" s="3"/>
      <c r="T1035" s="3"/>
      <c r="U1035" s="3"/>
      <c r="V1035" s="3"/>
    </row>
    <row r="1036" spans="1:22" s="3" customFormat="1" ht="31.5" x14ac:dyDescent="0.5">
      <c r="N1036" s="16"/>
    </row>
    <row r="1037" spans="1:22" ht="31.5" x14ac:dyDescent="0.5">
      <c r="A1037" s="3"/>
      <c r="B1037" s="3"/>
      <c r="C1037" s="3"/>
      <c r="D1037" s="3"/>
      <c r="E1037" s="3"/>
      <c r="F1037" s="3"/>
      <c r="G1037" s="3"/>
      <c r="H1037" s="3"/>
      <c r="I1037" s="5"/>
      <c r="J1037" s="3"/>
      <c r="K1037" s="3"/>
      <c r="L1037" s="3"/>
      <c r="M1037" s="3"/>
      <c r="N1037" s="16"/>
      <c r="O1037" s="3"/>
      <c r="P1037" s="3"/>
      <c r="Q1037" s="3"/>
      <c r="R1037" s="3"/>
      <c r="S1037" s="3"/>
      <c r="T1037" s="3"/>
      <c r="U1037" s="3"/>
      <c r="V1037" s="3"/>
    </row>
    <row r="1038" spans="1:22" ht="31.5" x14ac:dyDescent="0.5">
      <c r="A1038" s="3"/>
      <c r="B1038" s="3"/>
      <c r="C1038" s="3"/>
      <c r="D1038" s="3"/>
      <c r="E1038" s="3"/>
      <c r="F1038" s="3"/>
      <c r="G1038" s="3"/>
      <c r="H1038" s="3"/>
      <c r="I1038" s="5"/>
      <c r="J1038" s="3"/>
      <c r="K1038" s="3"/>
      <c r="L1038" s="3"/>
      <c r="M1038" s="3"/>
      <c r="N1038" s="16"/>
      <c r="O1038" s="3"/>
      <c r="P1038" s="3"/>
      <c r="Q1038" s="3"/>
      <c r="R1038" s="3"/>
      <c r="S1038" s="3"/>
      <c r="T1038" s="3"/>
      <c r="U1038" s="3"/>
      <c r="V1038" s="3"/>
    </row>
    <row r="1039" spans="1:22" s="3" customFormat="1" ht="31.5" x14ac:dyDescent="0.5">
      <c r="I1039" s="5"/>
      <c r="N1039" s="16"/>
    </row>
    <row r="1040" spans="1:22" ht="31.5" x14ac:dyDescent="0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16"/>
      <c r="O1040" s="3"/>
      <c r="P1040" s="3"/>
      <c r="Q1040" s="3"/>
      <c r="R1040" s="3"/>
      <c r="S1040" s="3"/>
      <c r="T1040" s="3"/>
      <c r="U1040" s="3"/>
      <c r="V1040" s="3"/>
    </row>
    <row r="1041" spans="1:22" ht="31.5" x14ac:dyDescent="0.5">
      <c r="A1041" s="3"/>
      <c r="B1041" s="3"/>
      <c r="C1041" s="3"/>
      <c r="D1041" s="3"/>
      <c r="E1041" s="3"/>
      <c r="F1041" s="3"/>
      <c r="G1041" s="3"/>
      <c r="H1041" s="3"/>
      <c r="I1041" s="5"/>
      <c r="J1041" s="3"/>
      <c r="K1041" s="3"/>
      <c r="L1041" s="3"/>
      <c r="M1041" s="3"/>
      <c r="N1041" s="16"/>
      <c r="O1041" s="3"/>
      <c r="P1041" s="3"/>
      <c r="Q1041" s="3"/>
      <c r="R1041" s="3"/>
      <c r="S1041" s="3"/>
      <c r="T1041" s="3"/>
      <c r="U1041" s="3"/>
      <c r="V1041" s="3"/>
    </row>
    <row r="1042" spans="1:22" s="3" customFormat="1" ht="31.5" x14ac:dyDescent="0.5">
      <c r="N1042" s="16"/>
    </row>
    <row r="1043" spans="1:22" ht="31.5" x14ac:dyDescent="0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16"/>
      <c r="O1043" s="3"/>
      <c r="P1043" s="3"/>
      <c r="Q1043" s="3"/>
      <c r="R1043" s="3"/>
      <c r="S1043" s="3"/>
      <c r="T1043" s="3"/>
      <c r="U1043" s="3"/>
      <c r="V1043" s="3"/>
    </row>
    <row r="1044" spans="1:22" ht="31.5" x14ac:dyDescent="0.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16"/>
      <c r="O1044" s="3"/>
      <c r="P1044" s="3"/>
      <c r="Q1044" s="3"/>
      <c r="R1044" s="3"/>
      <c r="S1044" s="3"/>
      <c r="T1044" s="3"/>
      <c r="U1044" s="3"/>
      <c r="V1044" s="3"/>
    </row>
    <row r="1045" spans="1:22" ht="31.5" x14ac:dyDescent="0.5">
      <c r="A1045" s="3"/>
      <c r="B1045" s="3"/>
      <c r="C1045" s="3"/>
      <c r="D1045" s="3"/>
      <c r="E1045" s="3"/>
      <c r="F1045" s="3"/>
      <c r="G1045" s="3"/>
      <c r="H1045" s="3"/>
      <c r="I1045" s="5"/>
      <c r="J1045" s="3"/>
      <c r="K1045" s="3"/>
      <c r="L1045" s="3"/>
      <c r="M1045" s="3"/>
      <c r="N1045" s="16"/>
      <c r="O1045" s="3"/>
      <c r="P1045" s="3"/>
      <c r="Q1045" s="3"/>
      <c r="R1045" s="3"/>
      <c r="S1045" s="3"/>
      <c r="T1045" s="3"/>
      <c r="U1045" s="3"/>
      <c r="V1045" s="3"/>
    </row>
    <row r="1046" spans="1:22" ht="31.5" x14ac:dyDescent="0.5">
      <c r="A1046" s="3"/>
      <c r="B1046" s="3"/>
      <c r="C1046" s="3"/>
      <c r="D1046" s="3"/>
      <c r="E1046" s="3"/>
      <c r="F1046" s="3"/>
      <c r="G1046" s="3"/>
      <c r="H1046" s="3"/>
      <c r="I1046" s="5"/>
      <c r="J1046" s="3"/>
      <c r="K1046" s="3"/>
      <c r="L1046" s="3"/>
      <c r="M1046" s="3"/>
      <c r="N1046" s="16"/>
      <c r="O1046" s="3"/>
      <c r="P1046" s="3"/>
      <c r="Q1046" s="3"/>
      <c r="R1046" s="3"/>
      <c r="S1046" s="3"/>
      <c r="T1046" s="3"/>
      <c r="U1046" s="3"/>
      <c r="V1046" s="3"/>
    </row>
    <row r="1047" spans="1:22" ht="31.5" x14ac:dyDescent="0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16"/>
      <c r="O1047" s="3"/>
      <c r="P1047" s="3"/>
      <c r="Q1047" s="3"/>
      <c r="R1047" s="3"/>
      <c r="S1047" s="3"/>
      <c r="T1047" s="3"/>
      <c r="U1047" s="3"/>
      <c r="V1047" s="3"/>
    </row>
    <row r="1048" spans="1:22" s="3" customFormat="1" ht="31.5" x14ac:dyDescent="0.5">
      <c r="I1048" s="5"/>
      <c r="N1048" s="16"/>
    </row>
    <row r="1049" spans="1:22" s="3" customFormat="1" ht="31.5" x14ac:dyDescent="0.5">
      <c r="I1049" s="5"/>
      <c r="N1049" s="16"/>
    </row>
    <row r="1050" spans="1:22" s="3" customFormat="1" ht="31.5" x14ac:dyDescent="0.5">
      <c r="I1050" s="5"/>
      <c r="N1050" s="16"/>
    </row>
    <row r="1051" spans="1:22" ht="31.5" x14ac:dyDescent="0.5">
      <c r="A1051" s="3"/>
      <c r="B1051" s="3"/>
      <c r="C1051" s="3"/>
      <c r="D1051" s="3"/>
      <c r="E1051" s="3"/>
      <c r="F1051" s="3"/>
      <c r="G1051" s="3"/>
      <c r="H1051" s="3"/>
      <c r="I1051" s="5"/>
      <c r="J1051" s="3"/>
      <c r="K1051" s="3"/>
      <c r="L1051" s="3"/>
      <c r="M1051" s="3"/>
      <c r="N1051" s="16"/>
      <c r="O1051" s="3"/>
      <c r="P1051" s="3"/>
      <c r="Q1051" s="3"/>
      <c r="R1051" s="3"/>
      <c r="S1051" s="3"/>
      <c r="T1051" s="3"/>
      <c r="U1051" s="3"/>
      <c r="V1051" s="3"/>
    </row>
    <row r="1052" spans="1:22" ht="31.5" x14ac:dyDescent="0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16"/>
      <c r="O1052" s="3"/>
      <c r="P1052" s="3"/>
      <c r="Q1052" s="3"/>
      <c r="R1052" s="3"/>
      <c r="S1052" s="3"/>
      <c r="T1052" s="3"/>
      <c r="U1052" s="3"/>
      <c r="V1052" s="3"/>
    </row>
    <row r="1053" spans="1:22" ht="31.5" x14ac:dyDescent="0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16"/>
      <c r="O1053" s="3"/>
      <c r="P1053" s="3"/>
      <c r="Q1053" s="3"/>
      <c r="R1053" s="3"/>
      <c r="S1053" s="3"/>
      <c r="T1053" s="3"/>
      <c r="U1053" s="3"/>
      <c r="V1053" s="3"/>
    </row>
    <row r="1054" spans="1:22" s="3" customFormat="1" ht="31.5" x14ac:dyDescent="0.5">
      <c r="I1054" s="5"/>
      <c r="N1054" s="16"/>
    </row>
    <row r="1055" spans="1:22" ht="31.5" x14ac:dyDescent="0.5">
      <c r="A1055" s="3"/>
      <c r="B1055" s="3"/>
      <c r="C1055" s="3"/>
      <c r="D1055" s="3"/>
      <c r="E1055" s="3"/>
      <c r="F1055" s="3"/>
      <c r="G1055" s="3"/>
      <c r="H1055" s="3"/>
      <c r="I1055" s="5"/>
      <c r="J1055" s="3"/>
      <c r="K1055" s="3"/>
      <c r="L1055" s="3"/>
      <c r="M1055" s="3"/>
      <c r="N1055" s="16"/>
      <c r="O1055" s="3"/>
      <c r="P1055" s="3"/>
      <c r="Q1055" s="3"/>
      <c r="R1055" s="3"/>
      <c r="S1055" s="3"/>
      <c r="T1055" s="3"/>
      <c r="U1055" s="3"/>
      <c r="V1055" s="3"/>
    </row>
    <row r="1056" spans="1:22" s="3" customFormat="1" ht="31.5" x14ac:dyDescent="0.5">
      <c r="I1056" s="5"/>
      <c r="N1056" s="16"/>
    </row>
    <row r="1057" spans="1:22" s="3" customFormat="1" ht="31.5" x14ac:dyDescent="0.5">
      <c r="N1057" s="16"/>
    </row>
    <row r="1058" spans="1:22" s="3" customFormat="1" ht="31.5" x14ac:dyDescent="0.5">
      <c r="I1058" s="5"/>
      <c r="N1058" s="16"/>
    </row>
    <row r="1059" spans="1:22" ht="31.5" x14ac:dyDescent="0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16"/>
      <c r="O1059" s="3"/>
      <c r="P1059" s="3"/>
      <c r="Q1059" s="3"/>
      <c r="R1059" s="3"/>
      <c r="S1059" s="3"/>
      <c r="T1059" s="3"/>
      <c r="U1059" s="3"/>
      <c r="V1059" s="3"/>
    </row>
    <row r="1060" spans="1:22" ht="31.5" x14ac:dyDescent="0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16"/>
      <c r="O1060" s="3"/>
      <c r="P1060" s="3"/>
      <c r="Q1060" s="3"/>
      <c r="R1060" s="3"/>
      <c r="S1060" s="3"/>
      <c r="T1060" s="3"/>
      <c r="U1060" s="3"/>
      <c r="V1060" s="3"/>
    </row>
    <row r="1061" spans="1:22" s="3" customFormat="1" ht="31.5" x14ac:dyDescent="0.5">
      <c r="I1061" s="5"/>
      <c r="N1061" s="16"/>
    </row>
    <row r="1062" spans="1:22" s="3" customFormat="1" ht="31.5" x14ac:dyDescent="0.5">
      <c r="N1062" s="16"/>
    </row>
    <row r="1063" spans="1:22" s="3" customFormat="1" ht="31.5" x14ac:dyDescent="0.5">
      <c r="N1063" s="16"/>
    </row>
    <row r="1064" spans="1:22" ht="31.5" x14ac:dyDescent="0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16"/>
      <c r="O1064" s="3"/>
      <c r="P1064" s="3"/>
      <c r="Q1064" s="3"/>
      <c r="R1064" s="3"/>
      <c r="S1064" s="3"/>
      <c r="T1064" s="3"/>
      <c r="U1064" s="3"/>
      <c r="V1064" s="3"/>
    </row>
    <row r="1065" spans="1:22" s="3" customFormat="1" ht="31.5" x14ac:dyDescent="0.5">
      <c r="N1065" s="16"/>
    </row>
    <row r="1066" spans="1:22" ht="31.5" x14ac:dyDescent="0.5">
      <c r="A1066" s="3"/>
      <c r="B1066" s="3"/>
      <c r="C1066" s="3"/>
      <c r="D1066" s="3"/>
      <c r="E1066" s="3"/>
      <c r="F1066" s="3"/>
      <c r="G1066" s="3"/>
      <c r="H1066" s="3"/>
      <c r="I1066" s="5"/>
      <c r="J1066" s="3"/>
      <c r="K1066" s="3"/>
      <c r="L1066" s="3"/>
      <c r="M1066" s="3"/>
      <c r="N1066" s="16"/>
      <c r="O1066" s="3"/>
      <c r="P1066" s="3"/>
      <c r="Q1066" s="3"/>
      <c r="R1066" s="3"/>
      <c r="S1066" s="3"/>
      <c r="T1066" s="3"/>
      <c r="U1066" s="3"/>
      <c r="V1066" s="3"/>
    </row>
    <row r="1067" spans="1:22" s="3" customFormat="1" ht="31.5" x14ac:dyDescent="0.5">
      <c r="I1067" s="5"/>
      <c r="N1067" s="16"/>
    </row>
    <row r="1068" spans="1:22" ht="31.5" x14ac:dyDescent="0.5">
      <c r="A1068" s="3"/>
      <c r="B1068" s="3"/>
      <c r="C1068" s="3"/>
      <c r="D1068" s="3"/>
      <c r="E1068" s="3"/>
      <c r="F1068" s="3"/>
      <c r="G1068" s="3"/>
      <c r="H1068" s="3"/>
      <c r="I1068" s="5"/>
      <c r="J1068" s="3"/>
      <c r="K1068" s="3"/>
      <c r="L1068" s="3"/>
      <c r="M1068" s="3"/>
      <c r="N1068" s="16"/>
      <c r="O1068" s="3"/>
      <c r="P1068" s="3"/>
      <c r="Q1068" s="3"/>
      <c r="R1068" s="3"/>
      <c r="S1068" s="3"/>
      <c r="T1068" s="3"/>
      <c r="U1068" s="3"/>
      <c r="V1068" s="3"/>
    </row>
    <row r="1069" spans="1:22" ht="31.5" x14ac:dyDescent="0.5">
      <c r="A1069" s="3"/>
      <c r="B1069" s="3"/>
      <c r="C1069" s="3"/>
      <c r="D1069" s="3"/>
      <c r="E1069" s="3"/>
      <c r="F1069" s="3"/>
      <c r="G1069" s="3"/>
      <c r="H1069" s="3"/>
      <c r="I1069" s="5"/>
      <c r="J1069" s="3"/>
      <c r="K1069" s="3"/>
      <c r="L1069" s="3"/>
      <c r="M1069" s="3"/>
      <c r="N1069" s="16"/>
      <c r="O1069" s="3"/>
      <c r="P1069" s="3"/>
      <c r="Q1069" s="3"/>
      <c r="R1069" s="3"/>
      <c r="S1069" s="3"/>
      <c r="T1069" s="3"/>
      <c r="U1069" s="3"/>
      <c r="V1069" s="3"/>
    </row>
    <row r="1070" spans="1:22" ht="31.5" x14ac:dyDescent="0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16"/>
      <c r="O1070" s="3"/>
      <c r="P1070" s="3"/>
      <c r="Q1070" s="3"/>
      <c r="R1070" s="3"/>
      <c r="S1070" s="3"/>
      <c r="T1070" s="3"/>
      <c r="U1070" s="3"/>
      <c r="V1070" s="3"/>
    </row>
    <row r="1071" spans="1:22" ht="31.5" x14ac:dyDescent="0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16"/>
      <c r="O1071" s="3"/>
      <c r="P1071" s="3"/>
      <c r="Q1071" s="3"/>
      <c r="R1071" s="3"/>
      <c r="S1071" s="3"/>
      <c r="T1071" s="3"/>
      <c r="U1071" s="3"/>
      <c r="V1071" s="3"/>
    </row>
    <row r="1072" spans="1:22" ht="31.5" x14ac:dyDescent="0.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16"/>
      <c r="O1072" s="3"/>
      <c r="P1072" s="3"/>
      <c r="Q1072" s="3"/>
      <c r="R1072" s="3"/>
      <c r="S1072" s="3"/>
      <c r="T1072" s="3"/>
      <c r="U1072" s="3"/>
      <c r="V1072" s="3"/>
    </row>
    <row r="1073" spans="1:22" ht="31.5" x14ac:dyDescent="0.5">
      <c r="A1073" s="3"/>
      <c r="B1073" s="3"/>
      <c r="C1073" s="3"/>
      <c r="D1073" s="3"/>
      <c r="E1073" s="3"/>
      <c r="F1073" s="3"/>
      <c r="G1073" s="3"/>
      <c r="H1073" s="3"/>
      <c r="I1073" s="5"/>
      <c r="J1073" s="3"/>
      <c r="K1073" s="3"/>
      <c r="L1073" s="3"/>
      <c r="M1073" s="3"/>
      <c r="N1073" s="16"/>
      <c r="O1073" s="3"/>
      <c r="P1073" s="3"/>
      <c r="Q1073" s="3"/>
      <c r="R1073" s="3"/>
      <c r="S1073" s="3"/>
      <c r="T1073" s="3"/>
      <c r="U1073" s="3"/>
      <c r="V1073" s="3"/>
    </row>
    <row r="1074" spans="1:22" ht="31.5" x14ac:dyDescent="0.5">
      <c r="A1074" s="3"/>
      <c r="B1074" s="3"/>
      <c r="C1074" s="3"/>
      <c r="D1074" s="3"/>
      <c r="E1074" s="3"/>
      <c r="F1074" s="3"/>
      <c r="G1074" s="3"/>
      <c r="H1074" s="3"/>
      <c r="I1074" s="5"/>
      <c r="J1074" s="3"/>
      <c r="K1074" s="3"/>
      <c r="L1074" s="3"/>
      <c r="M1074" s="3"/>
      <c r="N1074" s="16"/>
      <c r="O1074" s="3"/>
      <c r="P1074" s="3"/>
      <c r="Q1074" s="3"/>
      <c r="R1074" s="3"/>
      <c r="S1074" s="3"/>
      <c r="T1074" s="3"/>
      <c r="U1074" s="3"/>
      <c r="V1074" s="3"/>
    </row>
    <row r="1075" spans="1:22" ht="31.5" x14ac:dyDescent="0.5">
      <c r="A1075" s="3"/>
      <c r="B1075" s="3"/>
      <c r="C1075" s="3"/>
      <c r="D1075" s="3"/>
      <c r="E1075" s="3"/>
      <c r="F1075" s="3"/>
      <c r="G1075" s="3"/>
      <c r="H1075" s="3"/>
      <c r="I1075" s="5"/>
      <c r="J1075" s="3"/>
      <c r="K1075" s="3"/>
      <c r="L1075" s="3"/>
      <c r="M1075" s="3"/>
      <c r="N1075" s="16"/>
      <c r="O1075" s="3"/>
      <c r="P1075" s="3"/>
      <c r="Q1075" s="3"/>
      <c r="R1075" s="3"/>
      <c r="S1075" s="3"/>
      <c r="T1075" s="3"/>
      <c r="U1075" s="3"/>
      <c r="V1075" s="3"/>
    </row>
    <row r="1076" spans="1:22" ht="31.5" x14ac:dyDescent="0.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16"/>
      <c r="O1076" s="3"/>
      <c r="P1076" s="3"/>
      <c r="Q1076" s="3"/>
      <c r="R1076" s="3"/>
      <c r="S1076" s="3"/>
      <c r="T1076" s="3"/>
      <c r="U1076" s="3"/>
      <c r="V1076" s="3"/>
    </row>
    <row r="1077" spans="1:22" s="3" customFormat="1" ht="31.5" x14ac:dyDescent="0.5">
      <c r="N1077" s="16"/>
    </row>
    <row r="1078" spans="1:22" s="3" customFormat="1" ht="31.5" x14ac:dyDescent="0.5">
      <c r="I1078" s="5"/>
      <c r="N1078" s="16"/>
    </row>
    <row r="1079" spans="1:22" s="3" customFormat="1" ht="31.5" x14ac:dyDescent="0.5">
      <c r="I1079" s="5"/>
      <c r="N1079" s="16"/>
    </row>
    <row r="1080" spans="1:22" ht="31.5" x14ac:dyDescent="0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16"/>
      <c r="O1080" s="3"/>
      <c r="P1080" s="3"/>
      <c r="Q1080" s="3"/>
      <c r="R1080" s="3"/>
      <c r="S1080" s="3"/>
      <c r="T1080" s="3"/>
      <c r="U1080" s="3"/>
      <c r="V1080" s="3"/>
    </row>
    <row r="1081" spans="1:22" ht="31.5" x14ac:dyDescent="0.5">
      <c r="A1081" s="3"/>
      <c r="B1081" s="3"/>
      <c r="C1081" s="3"/>
      <c r="D1081" s="3"/>
      <c r="E1081" s="3"/>
      <c r="F1081" s="3"/>
      <c r="G1081" s="3"/>
      <c r="H1081" s="3"/>
      <c r="I1081" s="5"/>
      <c r="J1081" s="3"/>
      <c r="K1081" s="3"/>
      <c r="L1081" s="3"/>
      <c r="M1081" s="3"/>
      <c r="N1081" s="16"/>
      <c r="O1081" s="3"/>
      <c r="P1081" s="3"/>
      <c r="Q1081" s="3"/>
      <c r="R1081" s="3"/>
      <c r="S1081" s="3"/>
      <c r="T1081" s="3"/>
      <c r="U1081" s="3"/>
      <c r="V1081" s="3"/>
    </row>
    <row r="1082" spans="1:22" ht="31.5" x14ac:dyDescent="0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16"/>
      <c r="O1082" s="3"/>
      <c r="P1082" s="3"/>
      <c r="Q1082" s="3"/>
      <c r="R1082" s="3"/>
      <c r="S1082" s="3"/>
      <c r="T1082" s="3"/>
      <c r="U1082" s="3"/>
      <c r="V1082" s="3"/>
    </row>
    <row r="1083" spans="1:22" ht="31.5" x14ac:dyDescent="0.5">
      <c r="A1083" s="3"/>
      <c r="B1083" s="3"/>
      <c r="C1083" s="3"/>
      <c r="D1083" s="3"/>
      <c r="E1083" s="3"/>
      <c r="F1083" s="3"/>
      <c r="G1083" s="3"/>
      <c r="H1083" s="3"/>
      <c r="I1083" s="5"/>
      <c r="J1083" s="3"/>
      <c r="K1083" s="3"/>
      <c r="L1083" s="3"/>
      <c r="M1083" s="3"/>
      <c r="N1083" s="16"/>
      <c r="O1083" s="3"/>
      <c r="P1083" s="3"/>
      <c r="Q1083" s="3"/>
      <c r="R1083" s="3"/>
      <c r="S1083" s="3"/>
      <c r="T1083" s="3"/>
      <c r="U1083" s="3"/>
      <c r="V1083" s="3"/>
    </row>
    <row r="1084" spans="1:22" ht="31.5" x14ac:dyDescent="0.5">
      <c r="A1084" s="3"/>
      <c r="B1084" s="3"/>
      <c r="C1084" s="3"/>
      <c r="D1084" s="3"/>
      <c r="E1084" s="3"/>
      <c r="F1084" s="3"/>
      <c r="G1084" s="3"/>
      <c r="H1084" s="3"/>
      <c r="I1084" s="5"/>
      <c r="J1084" s="3"/>
      <c r="K1084" s="3"/>
      <c r="L1084" s="3"/>
      <c r="M1084" s="3"/>
      <c r="N1084" s="16"/>
      <c r="O1084" s="3"/>
      <c r="P1084" s="3"/>
      <c r="Q1084" s="3"/>
      <c r="R1084" s="3"/>
      <c r="S1084" s="3"/>
      <c r="T1084" s="3"/>
      <c r="U1084" s="3"/>
      <c r="V1084" s="3"/>
    </row>
    <row r="1085" spans="1:22" ht="31.5" x14ac:dyDescent="0.5">
      <c r="A1085" s="3"/>
      <c r="B1085" s="3"/>
      <c r="C1085" s="3"/>
      <c r="D1085" s="3"/>
      <c r="E1085" s="3"/>
      <c r="F1085" s="3"/>
      <c r="G1085" s="3"/>
      <c r="H1085" s="3"/>
      <c r="I1085" s="5"/>
      <c r="J1085" s="3"/>
      <c r="K1085" s="3"/>
      <c r="L1085" s="3"/>
      <c r="M1085" s="3"/>
      <c r="N1085" s="16"/>
      <c r="O1085" s="3"/>
      <c r="P1085" s="3"/>
      <c r="Q1085" s="3"/>
      <c r="R1085" s="3"/>
      <c r="S1085" s="3"/>
      <c r="T1085" s="3"/>
      <c r="U1085" s="3"/>
      <c r="V1085" s="3"/>
    </row>
    <row r="1086" spans="1:22" ht="31.5" x14ac:dyDescent="0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16"/>
      <c r="O1086" s="3"/>
      <c r="P1086" s="3"/>
      <c r="Q1086" s="3"/>
      <c r="R1086" s="3"/>
      <c r="S1086" s="3"/>
      <c r="T1086" s="3"/>
      <c r="U1086" s="3"/>
      <c r="V1086" s="3"/>
    </row>
    <row r="1087" spans="1:22" ht="31.5" x14ac:dyDescent="0.5">
      <c r="A1087" s="3"/>
      <c r="B1087" s="3"/>
      <c r="C1087" s="3"/>
      <c r="D1087" s="3"/>
      <c r="E1087" s="3"/>
      <c r="F1087" s="3"/>
      <c r="G1087" s="3"/>
      <c r="H1087" s="3"/>
      <c r="I1087" s="5"/>
      <c r="J1087" s="3"/>
      <c r="K1087" s="3"/>
      <c r="L1087" s="3"/>
      <c r="M1087" s="3"/>
      <c r="N1087" s="16"/>
      <c r="O1087" s="3"/>
      <c r="P1087" s="3"/>
      <c r="Q1087" s="3"/>
      <c r="R1087" s="3"/>
      <c r="S1087" s="3"/>
      <c r="T1087" s="3"/>
      <c r="U1087" s="3"/>
      <c r="V1087" s="3"/>
    </row>
    <row r="1088" spans="1:22" ht="31.5" x14ac:dyDescent="0.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16"/>
      <c r="O1088" s="3"/>
      <c r="P1088" s="3"/>
      <c r="Q1088" s="3"/>
      <c r="R1088" s="3"/>
      <c r="S1088" s="3"/>
      <c r="T1088" s="3"/>
      <c r="U1088" s="3"/>
      <c r="V1088" s="3"/>
    </row>
    <row r="1089" spans="1:22" s="3" customFormat="1" ht="31.5" x14ac:dyDescent="0.5">
      <c r="I1089" s="5"/>
      <c r="N1089" s="16"/>
    </row>
    <row r="1090" spans="1:22" ht="31.5" x14ac:dyDescent="0.5">
      <c r="A1090" s="3"/>
      <c r="B1090" s="3"/>
      <c r="C1090" s="3"/>
      <c r="D1090" s="3"/>
      <c r="E1090" s="3"/>
      <c r="F1090" s="3"/>
      <c r="G1090" s="3"/>
      <c r="H1090" s="3"/>
      <c r="I1090" s="5"/>
      <c r="J1090" s="3"/>
      <c r="K1090" s="3"/>
      <c r="L1090" s="3"/>
      <c r="M1090" s="3"/>
      <c r="N1090" s="16"/>
      <c r="O1090" s="3"/>
      <c r="P1090" s="3"/>
      <c r="Q1090" s="3"/>
      <c r="R1090" s="3"/>
      <c r="S1090" s="3"/>
      <c r="T1090" s="3"/>
      <c r="U1090" s="3"/>
      <c r="V1090" s="3"/>
    </row>
    <row r="1091" spans="1:22" ht="31.5" x14ac:dyDescent="0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16"/>
      <c r="O1091" s="3"/>
      <c r="P1091" s="3"/>
      <c r="Q1091" s="3"/>
      <c r="R1091" s="3"/>
      <c r="S1091" s="3"/>
      <c r="T1091" s="3"/>
      <c r="U1091" s="3"/>
      <c r="V1091" s="3"/>
    </row>
    <row r="1092" spans="1:22" ht="31.5" x14ac:dyDescent="0.5">
      <c r="A1092" s="3"/>
      <c r="B1092" s="3"/>
      <c r="C1092" s="3"/>
      <c r="D1092" s="3"/>
      <c r="E1092" s="3"/>
      <c r="F1092" s="3"/>
      <c r="G1092" s="3"/>
      <c r="H1092" s="3"/>
      <c r="I1092" s="5"/>
      <c r="J1092" s="3"/>
      <c r="K1092" s="3"/>
      <c r="L1092" s="3"/>
      <c r="M1092" s="3"/>
      <c r="N1092" s="16"/>
      <c r="O1092" s="3"/>
      <c r="P1092" s="3"/>
      <c r="Q1092" s="3"/>
      <c r="R1092" s="3"/>
      <c r="S1092" s="3"/>
      <c r="T1092" s="3"/>
      <c r="U1092" s="3"/>
      <c r="V1092" s="3"/>
    </row>
    <row r="1093" spans="1:22" ht="31.5" x14ac:dyDescent="0.5">
      <c r="A1093" s="3"/>
      <c r="B1093" s="3"/>
      <c r="C1093" s="3"/>
      <c r="D1093" s="3"/>
      <c r="E1093" s="3"/>
      <c r="F1093" s="3"/>
      <c r="G1093" s="3"/>
      <c r="H1093" s="3"/>
      <c r="I1093" s="5"/>
      <c r="J1093" s="3"/>
      <c r="K1093" s="3"/>
      <c r="L1093" s="3"/>
      <c r="M1093" s="3"/>
      <c r="N1093" s="16"/>
      <c r="O1093" s="3"/>
      <c r="P1093" s="3"/>
      <c r="Q1093" s="3"/>
      <c r="R1093" s="3"/>
      <c r="S1093" s="3"/>
      <c r="T1093" s="3"/>
      <c r="U1093" s="3"/>
      <c r="V1093" s="3"/>
    </row>
    <row r="1094" spans="1:22" ht="31.5" x14ac:dyDescent="0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16"/>
      <c r="O1094" s="3"/>
      <c r="P1094" s="3"/>
      <c r="Q1094" s="3"/>
      <c r="R1094" s="3"/>
      <c r="S1094" s="3"/>
      <c r="T1094" s="3"/>
      <c r="U1094" s="3"/>
      <c r="V1094" s="3"/>
    </row>
    <row r="1095" spans="1:22" ht="31.5" x14ac:dyDescent="0.5">
      <c r="A1095" s="3"/>
      <c r="B1095" s="3"/>
      <c r="C1095" s="3"/>
      <c r="D1095" s="3"/>
      <c r="E1095" s="3"/>
      <c r="F1095" s="3"/>
      <c r="G1095" s="3"/>
      <c r="H1095" s="3"/>
      <c r="I1095" s="5"/>
      <c r="J1095" s="3"/>
      <c r="K1095" s="3"/>
      <c r="L1095" s="3"/>
      <c r="M1095" s="3"/>
      <c r="N1095" s="16"/>
      <c r="O1095" s="3"/>
      <c r="P1095" s="3"/>
      <c r="Q1095" s="3"/>
      <c r="R1095" s="3"/>
      <c r="S1095" s="3"/>
      <c r="T1095" s="3"/>
      <c r="U1095" s="3"/>
      <c r="V1095" s="3"/>
    </row>
    <row r="1096" spans="1:22" ht="31.5" x14ac:dyDescent="0.5">
      <c r="A1096" s="3"/>
      <c r="B1096" s="3"/>
      <c r="C1096" s="3"/>
      <c r="D1096" s="3"/>
      <c r="E1096" s="3"/>
      <c r="F1096" s="3"/>
      <c r="G1096" s="3"/>
      <c r="H1096" s="3"/>
      <c r="I1096" s="5"/>
      <c r="J1096" s="3"/>
      <c r="K1096" s="3"/>
      <c r="L1096" s="3"/>
      <c r="M1096" s="3"/>
      <c r="N1096" s="16"/>
      <c r="O1096" s="3"/>
      <c r="P1096" s="3"/>
      <c r="Q1096" s="3"/>
      <c r="R1096" s="3"/>
      <c r="S1096" s="3"/>
      <c r="T1096" s="3"/>
      <c r="U1096" s="3"/>
      <c r="V1096" s="3"/>
    </row>
    <row r="1097" spans="1:22" ht="31.5" x14ac:dyDescent="0.5">
      <c r="A1097" s="3"/>
      <c r="B1097" s="3"/>
      <c r="C1097" s="3"/>
      <c r="D1097" s="3"/>
      <c r="E1097" s="3"/>
      <c r="F1097" s="3"/>
      <c r="G1097" s="3"/>
      <c r="H1097" s="3"/>
      <c r="I1097" s="5"/>
      <c r="J1097" s="3"/>
      <c r="K1097" s="3"/>
      <c r="L1097" s="3"/>
      <c r="M1097" s="3"/>
      <c r="N1097" s="16"/>
      <c r="O1097" s="3"/>
      <c r="P1097" s="3"/>
      <c r="Q1097" s="3"/>
      <c r="R1097" s="3"/>
      <c r="S1097" s="3"/>
      <c r="T1097" s="3"/>
      <c r="U1097" s="3"/>
      <c r="V1097" s="3"/>
    </row>
    <row r="1098" spans="1:22" ht="31.5" x14ac:dyDescent="0.5">
      <c r="A1098" s="3"/>
      <c r="B1098" s="3"/>
      <c r="C1098" s="3"/>
      <c r="D1098" s="3"/>
      <c r="E1098" s="3"/>
      <c r="F1098" s="3"/>
      <c r="G1098" s="3"/>
      <c r="H1098" s="3"/>
      <c r="I1098" s="5"/>
      <c r="J1098" s="3"/>
      <c r="K1098" s="3"/>
      <c r="L1098" s="3"/>
      <c r="M1098" s="3"/>
      <c r="N1098" s="16"/>
      <c r="O1098" s="3"/>
      <c r="P1098" s="3"/>
      <c r="Q1098" s="3"/>
      <c r="R1098" s="3"/>
      <c r="S1098" s="3"/>
      <c r="T1098" s="3"/>
      <c r="U1098" s="3"/>
      <c r="V1098" s="3"/>
    </row>
    <row r="1099" spans="1:22" ht="31.5" x14ac:dyDescent="0.5">
      <c r="A1099" s="3"/>
      <c r="B1099" s="3"/>
      <c r="C1099" s="3"/>
      <c r="D1099" s="3"/>
      <c r="E1099" s="3"/>
      <c r="F1099" s="3"/>
      <c r="G1099" s="3"/>
      <c r="H1099" s="3"/>
      <c r="I1099" s="5"/>
      <c r="J1099" s="3"/>
      <c r="K1099" s="3"/>
      <c r="L1099" s="3"/>
      <c r="M1099" s="3"/>
      <c r="N1099" s="16"/>
      <c r="O1099" s="3"/>
      <c r="P1099" s="3"/>
      <c r="Q1099" s="3"/>
      <c r="R1099" s="3"/>
      <c r="S1099" s="3"/>
      <c r="T1099" s="3"/>
      <c r="U1099" s="3"/>
      <c r="V1099" s="3"/>
    </row>
    <row r="1100" spans="1:22" ht="31.5" x14ac:dyDescent="0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16"/>
      <c r="O1100" s="3"/>
      <c r="P1100" s="3"/>
      <c r="Q1100" s="3"/>
      <c r="R1100" s="3"/>
      <c r="S1100" s="3"/>
      <c r="T1100" s="3"/>
      <c r="U1100" s="3"/>
      <c r="V1100" s="3"/>
    </row>
    <row r="1101" spans="1:22" ht="31.5" x14ac:dyDescent="0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16"/>
      <c r="O1101" s="3"/>
      <c r="P1101" s="3"/>
      <c r="Q1101" s="3"/>
      <c r="R1101" s="3"/>
      <c r="S1101" s="3"/>
      <c r="T1101" s="3"/>
      <c r="U1101" s="3"/>
      <c r="V1101" s="3"/>
    </row>
    <row r="1102" spans="1:22" ht="31.5" x14ac:dyDescent="0.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16"/>
      <c r="O1102" s="3"/>
      <c r="P1102" s="3"/>
      <c r="Q1102" s="3"/>
      <c r="R1102" s="3"/>
      <c r="S1102" s="3"/>
      <c r="T1102" s="3"/>
      <c r="U1102" s="3"/>
      <c r="V1102" s="3"/>
    </row>
    <row r="1103" spans="1:22" ht="31.5" x14ac:dyDescent="0.5">
      <c r="A1103" s="3"/>
      <c r="B1103" s="3"/>
      <c r="C1103" s="3"/>
      <c r="D1103" s="3"/>
      <c r="E1103" s="3"/>
      <c r="F1103" s="3"/>
      <c r="G1103" s="3"/>
      <c r="H1103" s="3"/>
      <c r="I1103" s="5"/>
      <c r="J1103" s="3"/>
      <c r="K1103" s="3"/>
      <c r="L1103" s="3"/>
      <c r="M1103" s="3"/>
      <c r="N1103" s="16"/>
      <c r="O1103" s="3"/>
      <c r="P1103" s="3"/>
      <c r="Q1103" s="3"/>
      <c r="R1103" s="3"/>
      <c r="S1103" s="3"/>
      <c r="T1103" s="3"/>
      <c r="U1103" s="3"/>
      <c r="V1103" s="3"/>
    </row>
    <row r="1104" spans="1:22" ht="31.5" x14ac:dyDescent="0.5">
      <c r="A1104" s="3"/>
      <c r="B1104" s="3"/>
      <c r="C1104" s="3"/>
      <c r="D1104" s="3"/>
      <c r="E1104" s="3"/>
      <c r="F1104" s="3"/>
      <c r="G1104" s="3"/>
      <c r="H1104" s="3"/>
      <c r="I1104" s="5"/>
      <c r="J1104" s="3"/>
      <c r="K1104" s="3"/>
      <c r="L1104" s="3"/>
      <c r="M1104" s="3"/>
      <c r="N1104" s="16"/>
      <c r="O1104" s="3"/>
      <c r="P1104" s="3"/>
      <c r="Q1104" s="3"/>
      <c r="R1104" s="3"/>
      <c r="S1104" s="3"/>
      <c r="T1104" s="3"/>
      <c r="U1104" s="3"/>
      <c r="V1104" s="3"/>
    </row>
    <row r="1105" spans="1:22" ht="31.5" x14ac:dyDescent="0.5">
      <c r="A1105" s="3"/>
      <c r="B1105" s="3"/>
      <c r="C1105" s="3"/>
      <c r="D1105" s="3"/>
      <c r="E1105" s="3"/>
      <c r="F1105" s="3"/>
      <c r="G1105" s="3"/>
      <c r="H1105" s="3"/>
      <c r="I1105" s="5"/>
      <c r="J1105" s="3"/>
      <c r="K1105" s="3"/>
      <c r="L1105" s="3"/>
      <c r="M1105" s="3"/>
      <c r="N1105" s="16"/>
      <c r="O1105" s="3"/>
      <c r="P1105" s="3"/>
      <c r="Q1105" s="3"/>
      <c r="R1105" s="3"/>
      <c r="S1105" s="3"/>
      <c r="T1105" s="3"/>
      <c r="U1105" s="3"/>
      <c r="V1105" s="3"/>
    </row>
    <row r="1106" spans="1:22" ht="31.5" x14ac:dyDescent="0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16"/>
      <c r="O1106" s="3"/>
      <c r="P1106" s="3"/>
      <c r="Q1106" s="3"/>
      <c r="R1106" s="3"/>
      <c r="S1106" s="3"/>
      <c r="T1106" s="3"/>
      <c r="U1106" s="3"/>
      <c r="V1106" s="3"/>
    </row>
    <row r="1107" spans="1:22" ht="31.5" x14ac:dyDescent="0.5">
      <c r="A1107" s="3"/>
      <c r="B1107" s="3"/>
      <c r="C1107" s="3"/>
      <c r="D1107" s="3"/>
      <c r="E1107" s="3"/>
      <c r="F1107" s="3"/>
      <c r="G1107" s="3"/>
      <c r="H1107" s="3"/>
      <c r="I1107" s="5"/>
      <c r="J1107" s="3"/>
      <c r="K1107" s="3"/>
      <c r="L1107" s="3"/>
      <c r="M1107" s="3"/>
      <c r="N1107" s="16"/>
      <c r="O1107" s="3"/>
      <c r="P1107" s="3"/>
      <c r="Q1107" s="3"/>
      <c r="R1107" s="3"/>
      <c r="S1107" s="3"/>
      <c r="T1107" s="3"/>
      <c r="U1107" s="3"/>
      <c r="V1107" s="3"/>
    </row>
    <row r="1108" spans="1:22" ht="31.5" x14ac:dyDescent="0.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16"/>
      <c r="O1108" s="3"/>
      <c r="P1108" s="3"/>
      <c r="Q1108" s="3"/>
      <c r="R1108" s="3"/>
      <c r="S1108" s="3"/>
      <c r="T1108" s="3"/>
      <c r="U1108" s="3"/>
      <c r="V1108" s="3"/>
    </row>
    <row r="1109" spans="1:22" ht="31.5" x14ac:dyDescent="0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16"/>
      <c r="O1109" s="3"/>
      <c r="P1109" s="3"/>
      <c r="Q1109" s="3"/>
      <c r="R1109" s="3"/>
      <c r="S1109" s="3"/>
      <c r="T1109" s="3"/>
      <c r="U1109" s="3"/>
      <c r="V1109" s="3"/>
    </row>
    <row r="1110" spans="1:22" ht="31.5" x14ac:dyDescent="0.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16"/>
      <c r="O1110" s="3"/>
      <c r="P1110" s="3"/>
      <c r="Q1110" s="3"/>
      <c r="R1110" s="3"/>
      <c r="S1110" s="3"/>
      <c r="T1110" s="3"/>
      <c r="U1110" s="3"/>
      <c r="V1110" s="3"/>
    </row>
    <row r="1111" spans="1:22" ht="31.5" x14ac:dyDescent="0.5">
      <c r="A1111" s="3"/>
      <c r="B1111" s="3"/>
      <c r="C1111" s="3"/>
      <c r="D1111" s="3"/>
      <c r="E1111" s="3"/>
      <c r="F1111" s="3"/>
      <c r="G1111" s="3"/>
      <c r="H1111" s="3"/>
      <c r="I1111" s="5"/>
      <c r="J1111" s="3"/>
      <c r="K1111" s="3"/>
      <c r="L1111" s="3"/>
      <c r="M1111" s="3"/>
      <c r="N1111" s="16"/>
      <c r="O1111" s="3"/>
      <c r="P1111" s="3"/>
      <c r="Q1111" s="3"/>
      <c r="R1111" s="3"/>
      <c r="S1111" s="3"/>
      <c r="T1111" s="3"/>
      <c r="U1111" s="3"/>
      <c r="V1111" s="3"/>
    </row>
    <row r="1112" spans="1:22" ht="31.5" x14ac:dyDescent="0.5">
      <c r="A1112" s="3"/>
      <c r="B1112" s="3"/>
      <c r="C1112" s="3"/>
      <c r="D1112" s="3"/>
      <c r="E1112" s="3"/>
      <c r="F1112" s="3"/>
      <c r="G1112" s="3"/>
      <c r="H1112" s="3"/>
      <c r="I1112" s="5"/>
      <c r="J1112" s="3"/>
      <c r="K1112" s="3"/>
      <c r="L1112" s="3"/>
      <c r="M1112" s="3"/>
      <c r="N1112" s="16"/>
      <c r="O1112" s="3"/>
      <c r="P1112" s="3"/>
      <c r="Q1112" s="3"/>
      <c r="R1112" s="3"/>
      <c r="S1112" s="3"/>
      <c r="T1112" s="3"/>
      <c r="U1112" s="3"/>
      <c r="V1112" s="3"/>
    </row>
    <row r="1113" spans="1:22" ht="31.5" x14ac:dyDescent="0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16"/>
      <c r="O1113" s="3"/>
      <c r="P1113" s="3"/>
      <c r="Q1113" s="3"/>
      <c r="R1113" s="3"/>
      <c r="S1113" s="3"/>
      <c r="T1113" s="3"/>
      <c r="U1113" s="3"/>
      <c r="V1113" s="3"/>
    </row>
    <row r="1114" spans="1:22" ht="31.5" x14ac:dyDescent="0.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16"/>
      <c r="O1114" s="3"/>
      <c r="P1114" s="3"/>
      <c r="Q1114" s="3"/>
      <c r="R1114" s="3"/>
      <c r="S1114" s="3"/>
      <c r="T1114" s="3"/>
      <c r="U1114" s="3"/>
      <c r="V1114" s="3"/>
    </row>
    <row r="1115" spans="1:22" ht="31.5" x14ac:dyDescent="0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16"/>
      <c r="O1115" s="3"/>
      <c r="P1115" s="3"/>
      <c r="Q1115" s="3"/>
      <c r="R1115" s="3"/>
      <c r="S1115" s="3"/>
      <c r="T1115" s="3"/>
      <c r="U1115" s="3"/>
      <c r="V1115" s="3"/>
    </row>
    <row r="1116" spans="1:22" ht="31.5" x14ac:dyDescent="0.5">
      <c r="A1116" s="3"/>
      <c r="B1116" s="3"/>
      <c r="C1116" s="3"/>
      <c r="D1116" s="3"/>
      <c r="E1116" s="3"/>
      <c r="F1116" s="3"/>
      <c r="G1116" s="3"/>
      <c r="H1116" s="3"/>
      <c r="I1116" s="5"/>
      <c r="J1116" s="3"/>
      <c r="K1116" s="3"/>
      <c r="L1116" s="3"/>
      <c r="M1116" s="3"/>
      <c r="N1116" s="16"/>
      <c r="O1116" s="3"/>
      <c r="P1116" s="3"/>
      <c r="Q1116" s="3"/>
      <c r="R1116" s="3"/>
      <c r="S1116" s="3"/>
      <c r="T1116" s="3"/>
      <c r="U1116" s="3"/>
      <c r="V1116" s="3"/>
    </row>
    <row r="1117" spans="1:22" ht="31.5" x14ac:dyDescent="0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16"/>
      <c r="O1117" s="3"/>
      <c r="P1117" s="3"/>
      <c r="Q1117" s="3"/>
      <c r="R1117" s="3"/>
      <c r="S1117" s="3"/>
      <c r="T1117" s="3"/>
      <c r="U1117" s="3"/>
      <c r="V1117" s="3"/>
    </row>
    <row r="1118" spans="1:22" ht="31.5" x14ac:dyDescent="0.5">
      <c r="A1118" s="3"/>
      <c r="B1118" s="3"/>
      <c r="C1118" s="3"/>
      <c r="D1118" s="3"/>
      <c r="E1118" s="3"/>
      <c r="F1118" s="3"/>
      <c r="G1118" s="3"/>
      <c r="H1118" s="3"/>
      <c r="I1118" s="5"/>
      <c r="J1118" s="3"/>
      <c r="K1118" s="3"/>
      <c r="L1118" s="3"/>
      <c r="M1118" s="3"/>
      <c r="N1118" s="16"/>
      <c r="O1118" s="3"/>
      <c r="P1118" s="3"/>
      <c r="Q1118" s="3"/>
      <c r="R1118" s="3"/>
      <c r="S1118" s="3"/>
      <c r="T1118" s="3"/>
      <c r="U1118" s="3"/>
      <c r="V1118" s="3"/>
    </row>
    <row r="1119" spans="1:22" ht="31.5" x14ac:dyDescent="0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16"/>
      <c r="O1119" s="3"/>
      <c r="P1119" s="3"/>
      <c r="Q1119" s="3"/>
      <c r="R1119" s="3"/>
      <c r="S1119" s="3"/>
      <c r="T1119" s="3"/>
      <c r="U1119" s="3"/>
      <c r="V1119" s="3"/>
    </row>
    <row r="1120" spans="1:22" ht="31.5" x14ac:dyDescent="0.5">
      <c r="A1120" s="3"/>
      <c r="B1120" s="3"/>
      <c r="C1120" s="3"/>
      <c r="D1120" s="3"/>
      <c r="E1120" s="3"/>
      <c r="F1120" s="3"/>
      <c r="G1120" s="3"/>
      <c r="H1120" s="3"/>
      <c r="I1120" s="5"/>
      <c r="J1120" s="3"/>
      <c r="K1120" s="3"/>
      <c r="L1120" s="3"/>
      <c r="M1120" s="3"/>
      <c r="N1120" s="16"/>
      <c r="O1120" s="3"/>
      <c r="P1120" s="3"/>
      <c r="Q1120" s="3"/>
      <c r="R1120" s="3"/>
      <c r="S1120" s="3"/>
      <c r="T1120" s="3"/>
      <c r="U1120" s="3"/>
      <c r="V1120" s="3"/>
    </row>
    <row r="1121" spans="1:22" ht="31.5" x14ac:dyDescent="0.5">
      <c r="A1121" s="3"/>
      <c r="B1121" s="3"/>
      <c r="C1121" s="3"/>
      <c r="D1121" s="3"/>
      <c r="E1121" s="3"/>
      <c r="F1121" s="3"/>
      <c r="G1121" s="3"/>
      <c r="H1121" s="3"/>
      <c r="I1121" s="5"/>
      <c r="J1121" s="3"/>
      <c r="K1121" s="3"/>
      <c r="L1121" s="3"/>
      <c r="M1121" s="3"/>
      <c r="N1121" s="16"/>
      <c r="O1121" s="3"/>
      <c r="P1121" s="3"/>
      <c r="Q1121" s="3"/>
      <c r="R1121" s="3"/>
      <c r="S1121" s="3"/>
      <c r="T1121" s="3"/>
      <c r="U1121" s="3"/>
      <c r="V1121" s="3"/>
    </row>
    <row r="1122" spans="1:22" ht="31.5" x14ac:dyDescent="0.5">
      <c r="A1122" s="3"/>
      <c r="B1122" s="3"/>
      <c r="C1122" s="3"/>
      <c r="D1122" s="3"/>
      <c r="E1122" s="3"/>
      <c r="F1122" s="3"/>
      <c r="G1122" s="3"/>
      <c r="H1122" s="3"/>
      <c r="I1122" s="5"/>
      <c r="J1122" s="3"/>
      <c r="K1122" s="3"/>
      <c r="L1122" s="3"/>
      <c r="M1122" s="3"/>
      <c r="N1122" s="16"/>
      <c r="O1122" s="3"/>
      <c r="P1122" s="3"/>
      <c r="Q1122" s="3"/>
      <c r="R1122" s="3"/>
      <c r="S1122" s="3"/>
      <c r="T1122" s="3"/>
      <c r="U1122" s="3"/>
      <c r="V1122" s="3"/>
    </row>
    <row r="1123" spans="1:22" ht="31.5" x14ac:dyDescent="0.5">
      <c r="A1123" s="3"/>
      <c r="B1123" s="3"/>
      <c r="C1123" s="3"/>
      <c r="D1123" s="3"/>
      <c r="E1123" s="3"/>
      <c r="F1123" s="3"/>
      <c r="G1123" s="3"/>
      <c r="H1123" s="3"/>
      <c r="I1123" s="5"/>
      <c r="J1123" s="3"/>
      <c r="K1123" s="3"/>
      <c r="L1123" s="3"/>
      <c r="M1123" s="3"/>
      <c r="N1123" s="16"/>
      <c r="O1123" s="3"/>
      <c r="P1123" s="3"/>
      <c r="Q1123" s="3"/>
      <c r="R1123" s="3"/>
      <c r="S1123" s="3"/>
      <c r="T1123" s="3"/>
      <c r="U1123" s="3"/>
      <c r="V1123" s="3"/>
    </row>
    <row r="1124" spans="1:22" ht="31.5" x14ac:dyDescent="0.5">
      <c r="A1124" s="3"/>
      <c r="B1124" s="3"/>
      <c r="C1124" s="3"/>
      <c r="D1124" s="3"/>
      <c r="E1124" s="3"/>
      <c r="F1124" s="3"/>
      <c r="G1124" s="3"/>
      <c r="H1124" s="3"/>
      <c r="I1124" s="5"/>
      <c r="J1124" s="3"/>
      <c r="K1124" s="3"/>
      <c r="L1124" s="3"/>
      <c r="M1124" s="3"/>
      <c r="N1124" s="16"/>
      <c r="O1124" s="3"/>
      <c r="P1124" s="3"/>
      <c r="Q1124" s="3"/>
      <c r="R1124" s="3"/>
      <c r="S1124" s="3"/>
      <c r="T1124" s="3"/>
      <c r="U1124" s="3"/>
      <c r="V1124" s="3"/>
    </row>
    <row r="1125" spans="1:22" ht="31.5" x14ac:dyDescent="0.5">
      <c r="A1125" s="3"/>
      <c r="B1125" s="3"/>
      <c r="C1125" s="3"/>
      <c r="D1125" s="3"/>
      <c r="E1125" s="3"/>
      <c r="F1125" s="3"/>
      <c r="G1125" s="3"/>
      <c r="H1125" s="3"/>
      <c r="I1125" s="5"/>
      <c r="J1125" s="3"/>
      <c r="K1125" s="3"/>
      <c r="L1125" s="3"/>
      <c r="M1125" s="3"/>
      <c r="N1125" s="16"/>
      <c r="O1125" s="3"/>
      <c r="P1125" s="3"/>
      <c r="Q1125" s="3"/>
      <c r="R1125" s="3"/>
      <c r="S1125" s="3"/>
      <c r="T1125" s="3"/>
      <c r="U1125" s="3"/>
      <c r="V1125" s="3"/>
    </row>
    <row r="1126" spans="1:22" ht="31.5" x14ac:dyDescent="0.5">
      <c r="A1126" s="3"/>
      <c r="B1126" s="3"/>
      <c r="C1126" s="3"/>
      <c r="D1126" s="3"/>
      <c r="E1126" s="3"/>
      <c r="F1126" s="3"/>
      <c r="G1126" s="3"/>
      <c r="H1126" s="3"/>
      <c r="I1126" s="5"/>
      <c r="J1126" s="3"/>
      <c r="K1126" s="3"/>
      <c r="L1126" s="3"/>
      <c r="M1126" s="3"/>
      <c r="N1126" s="16"/>
      <c r="O1126" s="3"/>
      <c r="P1126" s="3"/>
      <c r="Q1126" s="3"/>
      <c r="R1126" s="3"/>
      <c r="S1126" s="3"/>
      <c r="T1126" s="3"/>
      <c r="U1126" s="3"/>
      <c r="V1126" s="3"/>
    </row>
    <row r="1127" spans="1:22" ht="31.5" x14ac:dyDescent="0.5">
      <c r="A1127" s="3"/>
      <c r="B1127" s="3"/>
      <c r="C1127" s="3"/>
      <c r="D1127" s="3"/>
      <c r="E1127" s="3"/>
      <c r="F1127" s="3"/>
      <c r="G1127" s="3"/>
      <c r="H1127" s="3"/>
      <c r="I1127" s="5"/>
      <c r="J1127" s="3"/>
      <c r="K1127" s="3"/>
      <c r="L1127" s="3"/>
      <c r="M1127" s="3"/>
      <c r="N1127" s="16"/>
      <c r="O1127" s="3"/>
      <c r="P1127" s="3"/>
      <c r="Q1127" s="3"/>
      <c r="R1127" s="3"/>
      <c r="S1127" s="3"/>
      <c r="T1127" s="3"/>
      <c r="U1127" s="3"/>
      <c r="V1127" s="3"/>
    </row>
    <row r="1128" spans="1:22" ht="31.5" x14ac:dyDescent="0.5">
      <c r="A1128" s="3"/>
      <c r="B1128" s="3"/>
      <c r="C1128" s="3"/>
      <c r="D1128" s="3"/>
      <c r="E1128" s="3"/>
      <c r="F1128" s="3"/>
      <c r="G1128" s="3"/>
      <c r="H1128" s="3"/>
      <c r="I1128" s="5"/>
      <c r="J1128" s="3"/>
      <c r="K1128" s="3"/>
      <c r="L1128" s="3"/>
      <c r="M1128" s="3"/>
      <c r="N1128" s="16"/>
      <c r="O1128" s="3"/>
      <c r="P1128" s="3"/>
      <c r="Q1128" s="3"/>
      <c r="R1128" s="3"/>
      <c r="S1128" s="3"/>
      <c r="T1128" s="3"/>
      <c r="U1128" s="3"/>
      <c r="V1128" s="3"/>
    </row>
    <row r="1129" spans="1:22" ht="31.5" x14ac:dyDescent="0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16"/>
      <c r="O1129" s="3"/>
      <c r="P1129" s="3"/>
      <c r="Q1129" s="3"/>
      <c r="R1129" s="3"/>
      <c r="S1129" s="3"/>
      <c r="T1129" s="3"/>
      <c r="U1129" s="3"/>
      <c r="V1129" s="3"/>
    </row>
    <row r="1130" spans="1:22" ht="31.5" x14ac:dyDescent="0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16"/>
      <c r="O1130" s="3"/>
      <c r="P1130" s="3"/>
      <c r="Q1130" s="3"/>
      <c r="R1130" s="3"/>
      <c r="S1130" s="3"/>
      <c r="T1130" s="3"/>
      <c r="U1130" s="3"/>
      <c r="V1130" s="3"/>
    </row>
    <row r="1131" spans="1:22" ht="31.5" x14ac:dyDescent="0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16"/>
      <c r="O1131" s="3"/>
      <c r="P1131" s="3"/>
      <c r="Q1131" s="3"/>
      <c r="R1131" s="3"/>
      <c r="S1131" s="3"/>
      <c r="T1131" s="3"/>
      <c r="U1131" s="3"/>
      <c r="V1131" s="3"/>
    </row>
    <row r="1132" spans="1:22" ht="31.5" x14ac:dyDescent="0.5">
      <c r="A1132" s="3"/>
      <c r="B1132" s="3"/>
      <c r="C1132" s="3"/>
      <c r="D1132" s="3"/>
      <c r="E1132" s="3"/>
      <c r="F1132" s="3"/>
      <c r="G1132" s="3"/>
      <c r="H1132" s="3"/>
      <c r="I1132" s="5"/>
      <c r="J1132" s="3"/>
      <c r="K1132" s="3"/>
      <c r="L1132" s="3"/>
      <c r="M1132" s="3"/>
      <c r="N1132" s="16"/>
      <c r="O1132" s="3"/>
      <c r="P1132" s="3"/>
      <c r="Q1132" s="3"/>
      <c r="R1132" s="3"/>
      <c r="S1132" s="3"/>
      <c r="T1132" s="3"/>
      <c r="U1132" s="3"/>
      <c r="V1132" s="3"/>
    </row>
    <row r="1133" spans="1:22" ht="31.5" x14ac:dyDescent="0.5">
      <c r="A1133" s="3"/>
      <c r="B1133" s="3"/>
      <c r="C1133" s="3"/>
      <c r="D1133" s="3"/>
      <c r="E1133" s="3"/>
      <c r="F1133" s="3"/>
      <c r="G1133" s="3"/>
      <c r="H1133" s="3"/>
      <c r="I1133" s="5"/>
      <c r="J1133" s="3"/>
      <c r="K1133" s="3"/>
      <c r="L1133" s="3"/>
      <c r="M1133" s="3"/>
      <c r="N1133" s="16"/>
      <c r="O1133" s="3"/>
      <c r="P1133" s="3"/>
      <c r="Q1133" s="3"/>
      <c r="R1133" s="3"/>
      <c r="S1133" s="3"/>
      <c r="T1133" s="3"/>
      <c r="U1133" s="3"/>
      <c r="V1133" s="3"/>
    </row>
    <row r="1134" spans="1:22" ht="31.5" x14ac:dyDescent="0.5">
      <c r="A1134" s="3"/>
      <c r="B1134" s="3"/>
      <c r="C1134" s="3"/>
      <c r="D1134" s="3"/>
      <c r="E1134" s="3"/>
      <c r="F1134" s="3"/>
      <c r="G1134" s="3"/>
      <c r="H1134" s="3"/>
      <c r="I1134" s="5"/>
      <c r="J1134" s="3"/>
      <c r="K1134" s="3"/>
      <c r="L1134" s="3"/>
      <c r="M1134" s="3"/>
      <c r="N1134" s="16"/>
      <c r="O1134" s="3"/>
      <c r="P1134" s="3"/>
      <c r="Q1134" s="3"/>
      <c r="R1134" s="3"/>
      <c r="S1134" s="3"/>
      <c r="T1134" s="3"/>
      <c r="U1134" s="3"/>
      <c r="V1134" s="3"/>
    </row>
    <row r="1135" spans="1:22" ht="31.5" x14ac:dyDescent="0.5">
      <c r="A1135" s="3"/>
      <c r="B1135" s="3"/>
      <c r="C1135" s="3"/>
      <c r="D1135" s="3"/>
      <c r="E1135" s="3"/>
      <c r="F1135" s="3"/>
      <c r="G1135" s="3"/>
      <c r="H1135" s="3"/>
      <c r="I1135" s="5"/>
      <c r="J1135" s="3"/>
      <c r="K1135" s="3"/>
      <c r="L1135" s="3"/>
      <c r="M1135" s="3"/>
      <c r="N1135" s="16"/>
      <c r="O1135" s="3"/>
      <c r="P1135" s="3"/>
      <c r="Q1135" s="3"/>
      <c r="R1135" s="3"/>
      <c r="S1135" s="3"/>
      <c r="T1135" s="3"/>
      <c r="U1135" s="3"/>
      <c r="V1135" s="3"/>
    </row>
    <row r="1136" spans="1:22" ht="31.5" x14ac:dyDescent="0.5">
      <c r="A1136" s="3"/>
      <c r="B1136" s="3"/>
      <c r="C1136" s="3"/>
      <c r="D1136" s="3"/>
      <c r="E1136" s="3"/>
      <c r="F1136" s="3"/>
      <c r="G1136" s="3"/>
      <c r="H1136" s="3"/>
      <c r="I1136" s="5"/>
      <c r="J1136" s="3"/>
      <c r="K1136" s="3"/>
      <c r="L1136" s="3"/>
      <c r="M1136" s="3"/>
      <c r="N1136" s="16"/>
      <c r="O1136" s="3"/>
      <c r="P1136" s="3"/>
      <c r="Q1136" s="3"/>
      <c r="R1136" s="3"/>
      <c r="S1136" s="3"/>
      <c r="T1136" s="3"/>
      <c r="U1136" s="3"/>
      <c r="V1136" s="3"/>
    </row>
    <row r="1137" spans="1:22" ht="31.5" x14ac:dyDescent="0.5">
      <c r="A1137" s="3"/>
      <c r="B1137" s="3"/>
      <c r="C1137" s="3"/>
      <c r="D1137" s="3"/>
      <c r="E1137" s="3"/>
      <c r="F1137" s="3"/>
      <c r="G1137" s="3"/>
      <c r="H1137" s="3"/>
      <c r="I1137" s="5"/>
      <c r="J1137" s="3"/>
      <c r="K1137" s="3"/>
      <c r="L1137" s="3"/>
      <c r="M1137" s="3"/>
      <c r="N1137" s="16"/>
      <c r="O1137" s="3"/>
      <c r="P1137" s="3"/>
      <c r="Q1137" s="3"/>
      <c r="R1137" s="3"/>
      <c r="S1137" s="3"/>
      <c r="T1137" s="3"/>
      <c r="U1137" s="3"/>
      <c r="V1137" s="3"/>
    </row>
    <row r="1138" spans="1:22" ht="31.5" x14ac:dyDescent="0.5">
      <c r="A1138" s="3"/>
      <c r="B1138" s="3"/>
      <c r="C1138" s="3"/>
      <c r="D1138" s="3"/>
      <c r="E1138" s="3"/>
      <c r="F1138" s="3"/>
      <c r="G1138" s="3"/>
      <c r="H1138" s="3"/>
      <c r="I1138" s="5"/>
      <c r="J1138" s="3"/>
      <c r="K1138" s="3"/>
      <c r="L1138" s="3"/>
      <c r="M1138" s="3"/>
      <c r="N1138" s="16"/>
      <c r="O1138" s="3"/>
      <c r="P1138" s="3"/>
      <c r="Q1138" s="3"/>
      <c r="R1138" s="3"/>
      <c r="S1138" s="3"/>
      <c r="T1138" s="3"/>
      <c r="U1138" s="3"/>
      <c r="V1138" s="3"/>
    </row>
    <row r="1139" spans="1:22" ht="31.5" x14ac:dyDescent="0.5">
      <c r="A1139" s="3"/>
      <c r="B1139" s="3"/>
      <c r="C1139" s="3"/>
      <c r="D1139" s="3"/>
      <c r="E1139" s="3"/>
      <c r="F1139" s="3"/>
      <c r="G1139" s="3"/>
      <c r="H1139" s="3"/>
      <c r="I1139" s="5"/>
      <c r="J1139" s="3"/>
      <c r="K1139" s="3"/>
      <c r="L1139" s="3"/>
      <c r="M1139" s="3"/>
      <c r="N1139" s="16"/>
      <c r="O1139" s="3"/>
      <c r="P1139" s="3"/>
      <c r="Q1139" s="3"/>
      <c r="R1139" s="3"/>
      <c r="S1139" s="3"/>
      <c r="T1139" s="3"/>
      <c r="U1139" s="3"/>
      <c r="V1139" s="3"/>
    </row>
    <row r="1140" spans="1:22" ht="31.5" x14ac:dyDescent="0.5">
      <c r="A1140" s="3"/>
      <c r="B1140" s="3"/>
      <c r="C1140" s="3"/>
      <c r="D1140" s="3"/>
      <c r="E1140" s="3"/>
      <c r="F1140" s="3"/>
      <c r="G1140" s="3"/>
      <c r="H1140" s="3"/>
      <c r="I1140" s="5"/>
      <c r="J1140" s="3"/>
      <c r="K1140" s="3"/>
      <c r="L1140" s="3"/>
      <c r="M1140" s="3"/>
      <c r="N1140" s="16"/>
      <c r="O1140" s="3"/>
      <c r="P1140" s="3"/>
      <c r="Q1140" s="3"/>
      <c r="R1140" s="3"/>
      <c r="S1140" s="3"/>
      <c r="T1140" s="3"/>
      <c r="U1140" s="3"/>
      <c r="V1140" s="3"/>
    </row>
    <row r="1141" spans="1:22" ht="31.5" x14ac:dyDescent="0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16"/>
      <c r="O1141" s="3"/>
      <c r="P1141" s="3"/>
      <c r="Q1141" s="3"/>
      <c r="R1141" s="3"/>
      <c r="S1141" s="3"/>
      <c r="T1141" s="3"/>
      <c r="U1141" s="3"/>
      <c r="V1141" s="3"/>
    </row>
    <row r="1142" spans="1:22" ht="31.5" x14ac:dyDescent="0.5">
      <c r="A1142" s="3"/>
      <c r="B1142" s="3"/>
      <c r="C1142" s="3"/>
      <c r="D1142" s="3"/>
      <c r="E1142" s="3"/>
      <c r="F1142" s="3"/>
      <c r="G1142" s="3"/>
      <c r="H1142" s="3"/>
      <c r="I1142" s="5"/>
      <c r="J1142" s="3"/>
      <c r="K1142" s="3"/>
      <c r="L1142" s="3"/>
      <c r="M1142" s="3"/>
      <c r="N1142" s="16"/>
      <c r="O1142" s="3"/>
      <c r="P1142" s="3"/>
      <c r="Q1142" s="3"/>
      <c r="R1142" s="3"/>
      <c r="S1142" s="3"/>
      <c r="T1142" s="3"/>
      <c r="U1142" s="3"/>
      <c r="V1142" s="3"/>
    </row>
    <row r="1143" spans="1:22" ht="31.5" x14ac:dyDescent="0.5">
      <c r="A1143" s="3"/>
      <c r="B1143" s="3"/>
      <c r="C1143" s="3"/>
      <c r="D1143" s="3"/>
      <c r="E1143" s="3"/>
      <c r="F1143" s="3"/>
      <c r="G1143" s="3"/>
      <c r="H1143" s="3"/>
      <c r="I1143" s="5"/>
      <c r="J1143" s="3"/>
      <c r="K1143" s="3"/>
      <c r="L1143" s="3"/>
      <c r="M1143" s="3"/>
      <c r="N1143" s="16"/>
      <c r="O1143" s="3"/>
      <c r="P1143" s="3"/>
      <c r="Q1143" s="3"/>
      <c r="R1143" s="3"/>
      <c r="S1143" s="3"/>
      <c r="T1143" s="3"/>
      <c r="U1143" s="3"/>
      <c r="V1143" s="3"/>
    </row>
    <row r="1144" spans="1:22" ht="31.5" x14ac:dyDescent="0.5">
      <c r="A1144" s="3"/>
      <c r="B1144" s="3"/>
      <c r="C1144" s="3"/>
      <c r="D1144" s="3"/>
      <c r="E1144" s="3"/>
      <c r="F1144" s="3"/>
      <c r="G1144" s="3"/>
      <c r="H1144" s="3"/>
      <c r="I1144" s="5"/>
      <c r="J1144" s="3"/>
      <c r="K1144" s="3"/>
      <c r="L1144" s="3"/>
      <c r="M1144" s="3"/>
      <c r="N1144" s="16"/>
      <c r="O1144" s="3"/>
      <c r="P1144" s="3"/>
      <c r="Q1144" s="3"/>
      <c r="R1144" s="3"/>
      <c r="S1144" s="3"/>
      <c r="T1144" s="3"/>
      <c r="U1144" s="3"/>
      <c r="V1144" s="3"/>
    </row>
    <row r="1145" spans="1:22" ht="31.5" x14ac:dyDescent="0.5">
      <c r="A1145" s="3"/>
      <c r="B1145" s="3"/>
      <c r="C1145" s="3"/>
      <c r="D1145" s="3"/>
      <c r="E1145" s="3"/>
      <c r="F1145" s="3"/>
      <c r="G1145" s="3"/>
      <c r="H1145" s="3"/>
      <c r="I1145" s="5"/>
      <c r="J1145" s="3"/>
      <c r="K1145" s="3"/>
      <c r="L1145" s="3"/>
      <c r="M1145" s="3"/>
      <c r="N1145" s="16"/>
      <c r="O1145" s="3"/>
      <c r="P1145" s="3"/>
      <c r="Q1145" s="3"/>
      <c r="R1145" s="3"/>
      <c r="S1145" s="3"/>
      <c r="T1145" s="3"/>
      <c r="U1145" s="3"/>
      <c r="V1145" s="3"/>
    </row>
    <row r="1146" spans="1:22" ht="31.5" x14ac:dyDescent="0.5">
      <c r="A1146" s="3"/>
      <c r="B1146" s="3"/>
      <c r="C1146" s="3"/>
      <c r="D1146" s="3"/>
      <c r="E1146" s="3"/>
      <c r="F1146" s="3"/>
      <c r="G1146" s="3"/>
      <c r="H1146" s="3"/>
      <c r="I1146" s="5"/>
      <c r="J1146" s="3"/>
      <c r="K1146" s="3"/>
      <c r="L1146" s="3"/>
      <c r="M1146" s="3"/>
      <c r="N1146" s="16"/>
      <c r="O1146" s="3"/>
      <c r="P1146" s="3"/>
      <c r="Q1146" s="3"/>
      <c r="R1146" s="3"/>
      <c r="S1146" s="3"/>
      <c r="T1146" s="3"/>
      <c r="U1146" s="3"/>
      <c r="V1146" s="3"/>
    </row>
    <row r="1147" spans="1:22" ht="31.5" x14ac:dyDescent="0.5">
      <c r="A1147" s="3"/>
      <c r="B1147" s="3"/>
      <c r="C1147" s="3"/>
      <c r="D1147" s="3"/>
      <c r="E1147" s="3"/>
      <c r="F1147" s="3"/>
      <c r="G1147" s="3"/>
      <c r="H1147" s="3"/>
      <c r="I1147" s="5"/>
      <c r="J1147" s="3"/>
      <c r="K1147" s="3"/>
      <c r="L1147" s="3"/>
      <c r="M1147" s="3"/>
      <c r="N1147" s="16"/>
      <c r="O1147" s="3"/>
      <c r="P1147" s="3"/>
      <c r="Q1147" s="3"/>
      <c r="R1147" s="3"/>
      <c r="S1147" s="3"/>
      <c r="T1147" s="3"/>
      <c r="U1147" s="3"/>
      <c r="V1147" s="3"/>
    </row>
    <row r="1148" spans="1:22" ht="31.5" x14ac:dyDescent="0.5">
      <c r="A1148" s="3"/>
      <c r="B1148" s="3"/>
      <c r="C1148" s="3"/>
      <c r="D1148" s="3"/>
      <c r="E1148" s="3"/>
      <c r="F1148" s="3"/>
      <c r="G1148" s="3"/>
      <c r="H1148" s="3"/>
      <c r="I1148" s="5"/>
      <c r="J1148" s="3"/>
      <c r="K1148" s="3"/>
      <c r="L1148" s="3"/>
      <c r="M1148" s="3"/>
      <c r="N1148" s="16"/>
      <c r="O1148" s="3"/>
      <c r="P1148" s="3"/>
      <c r="Q1148" s="3"/>
      <c r="R1148" s="3"/>
      <c r="S1148" s="3"/>
      <c r="T1148" s="3"/>
      <c r="U1148" s="3"/>
      <c r="V1148" s="3"/>
    </row>
    <row r="1149" spans="1:22" ht="31.5" x14ac:dyDescent="0.5">
      <c r="A1149" s="3"/>
      <c r="B1149" s="3"/>
      <c r="C1149" s="3"/>
      <c r="D1149" s="3"/>
      <c r="E1149" s="3"/>
      <c r="F1149" s="3"/>
      <c r="G1149" s="3"/>
      <c r="H1149" s="3"/>
      <c r="I1149" s="5"/>
      <c r="J1149" s="3"/>
      <c r="K1149" s="3"/>
      <c r="L1149" s="3"/>
      <c r="M1149" s="3"/>
      <c r="N1149" s="16"/>
      <c r="O1149" s="3"/>
      <c r="P1149" s="3"/>
      <c r="Q1149" s="3"/>
      <c r="R1149" s="3"/>
      <c r="S1149" s="3"/>
      <c r="T1149" s="3"/>
      <c r="U1149" s="3"/>
      <c r="V1149" s="3"/>
    </row>
    <row r="1150" spans="1:22" ht="31.5" x14ac:dyDescent="0.5">
      <c r="A1150" s="3"/>
      <c r="B1150" s="3"/>
      <c r="C1150" s="3"/>
      <c r="D1150" s="3"/>
      <c r="E1150" s="3"/>
      <c r="F1150" s="3"/>
      <c r="G1150" s="3"/>
      <c r="H1150" s="3"/>
      <c r="I1150" s="5"/>
      <c r="J1150" s="3"/>
      <c r="K1150" s="3"/>
      <c r="L1150" s="3"/>
      <c r="M1150" s="3"/>
      <c r="N1150" s="16"/>
      <c r="O1150" s="3"/>
      <c r="P1150" s="3"/>
      <c r="Q1150" s="3"/>
      <c r="R1150" s="3"/>
      <c r="S1150" s="3"/>
      <c r="T1150" s="3"/>
      <c r="U1150" s="3"/>
      <c r="V1150" s="3"/>
    </row>
    <row r="1151" spans="1:22" ht="31.5" x14ac:dyDescent="0.5">
      <c r="A1151" s="3"/>
      <c r="B1151" s="3"/>
      <c r="C1151" s="3"/>
      <c r="D1151" s="3"/>
      <c r="E1151" s="3"/>
      <c r="F1151" s="3"/>
      <c r="G1151" s="3"/>
      <c r="H1151" s="3"/>
      <c r="I1151" s="5"/>
      <c r="J1151" s="3"/>
      <c r="K1151" s="3"/>
      <c r="L1151" s="3"/>
      <c r="M1151" s="3"/>
      <c r="N1151" s="16"/>
      <c r="O1151" s="3"/>
      <c r="P1151" s="3"/>
      <c r="Q1151" s="3"/>
      <c r="R1151" s="3"/>
      <c r="S1151" s="3"/>
      <c r="T1151" s="3"/>
      <c r="U1151" s="3"/>
      <c r="V1151" s="3"/>
    </row>
    <row r="1152" spans="1:22" ht="31.5" x14ac:dyDescent="0.5">
      <c r="A1152" s="3"/>
      <c r="B1152" s="3"/>
      <c r="C1152" s="3"/>
      <c r="D1152" s="3"/>
      <c r="E1152" s="3"/>
      <c r="F1152" s="3"/>
      <c r="G1152" s="3"/>
      <c r="H1152" s="3"/>
      <c r="I1152" s="5"/>
      <c r="J1152" s="3"/>
      <c r="K1152" s="3"/>
      <c r="L1152" s="3"/>
      <c r="M1152" s="3"/>
      <c r="N1152" s="16"/>
      <c r="O1152" s="3"/>
      <c r="P1152" s="3"/>
      <c r="Q1152" s="3"/>
      <c r="R1152" s="3"/>
      <c r="S1152" s="3"/>
      <c r="T1152" s="3"/>
      <c r="U1152" s="3"/>
      <c r="V1152" s="3"/>
    </row>
    <row r="1153" spans="1:22" ht="31.5" x14ac:dyDescent="0.5">
      <c r="A1153" s="3"/>
      <c r="B1153" s="3"/>
      <c r="C1153" s="3"/>
      <c r="D1153" s="3"/>
      <c r="E1153" s="3"/>
      <c r="F1153" s="3"/>
      <c r="G1153" s="3"/>
      <c r="H1153" s="3"/>
      <c r="I1153" s="5"/>
      <c r="J1153" s="3"/>
      <c r="K1153" s="3"/>
      <c r="L1153" s="3"/>
      <c r="M1153" s="3"/>
      <c r="N1153" s="16"/>
      <c r="O1153" s="3"/>
      <c r="P1153" s="3"/>
      <c r="Q1153" s="3"/>
      <c r="R1153" s="3"/>
      <c r="S1153" s="3"/>
      <c r="T1153" s="3"/>
      <c r="U1153" s="3"/>
      <c r="V1153" s="3"/>
    </row>
    <row r="1154" spans="1:22" ht="31.5" x14ac:dyDescent="0.5">
      <c r="A1154" s="3"/>
      <c r="B1154" s="3"/>
      <c r="C1154" s="3"/>
      <c r="D1154" s="3"/>
      <c r="E1154" s="3"/>
      <c r="F1154" s="3"/>
      <c r="G1154" s="3"/>
      <c r="H1154" s="3"/>
      <c r="I1154" s="5"/>
      <c r="J1154" s="3"/>
      <c r="K1154" s="3"/>
      <c r="L1154" s="3"/>
      <c r="M1154" s="3"/>
      <c r="N1154" s="16"/>
      <c r="O1154" s="3"/>
      <c r="P1154" s="3"/>
      <c r="Q1154" s="3"/>
      <c r="R1154" s="3"/>
      <c r="S1154" s="3"/>
      <c r="T1154" s="3"/>
      <c r="U1154" s="3"/>
      <c r="V1154" s="3"/>
    </row>
    <row r="1155" spans="1:22" ht="31.5" x14ac:dyDescent="0.5">
      <c r="A1155" s="3"/>
      <c r="B1155" s="3"/>
      <c r="C1155" s="3"/>
      <c r="D1155" s="3"/>
      <c r="E1155" s="3"/>
      <c r="F1155" s="3"/>
      <c r="G1155" s="3"/>
      <c r="H1155" s="3"/>
      <c r="I1155" s="5"/>
      <c r="J1155" s="3"/>
      <c r="K1155" s="3"/>
      <c r="L1155" s="3"/>
      <c r="M1155" s="3"/>
      <c r="N1155" s="16"/>
      <c r="O1155" s="3"/>
      <c r="P1155" s="3"/>
      <c r="Q1155" s="3"/>
      <c r="R1155" s="3"/>
      <c r="S1155" s="3"/>
      <c r="T1155" s="3"/>
      <c r="U1155" s="3"/>
      <c r="V1155" s="3"/>
    </row>
    <row r="1156" spans="1:22" ht="31.5" x14ac:dyDescent="0.5">
      <c r="A1156" s="3"/>
      <c r="B1156" s="3"/>
      <c r="C1156" s="3"/>
      <c r="D1156" s="3"/>
      <c r="E1156" s="3"/>
      <c r="F1156" s="3"/>
      <c r="G1156" s="3"/>
      <c r="H1156" s="3"/>
      <c r="I1156" s="5"/>
      <c r="J1156" s="3"/>
      <c r="K1156" s="3"/>
      <c r="L1156" s="3"/>
      <c r="M1156" s="3"/>
      <c r="N1156" s="16"/>
      <c r="O1156" s="3"/>
      <c r="P1156" s="3"/>
      <c r="Q1156" s="3"/>
      <c r="R1156" s="3"/>
      <c r="S1156" s="3"/>
      <c r="T1156" s="3"/>
      <c r="U1156" s="3"/>
      <c r="V1156" s="3"/>
    </row>
    <row r="1157" spans="1:22" ht="31.5" x14ac:dyDescent="0.5">
      <c r="A1157" s="3"/>
      <c r="B1157" s="3"/>
      <c r="C1157" s="3"/>
      <c r="D1157" s="3"/>
      <c r="E1157" s="3"/>
      <c r="F1157" s="3"/>
      <c r="G1157" s="3"/>
      <c r="H1157" s="3"/>
      <c r="I1157" s="5"/>
      <c r="J1157" s="3"/>
      <c r="K1157" s="3"/>
      <c r="L1157" s="3"/>
      <c r="M1157" s="3"/>
      <c r="N1157" s="16"/>
      <c r="O1157" s="3"/>
      <c r="P1157" s="3"/>
      <c r="Q1157" s="3"/>
      <c r="R1157" s="3"/>
      <c r="S1157" s="3"/>
      <c r="T1157" s="3"/>
      <c r="U1157" s="3"/>
      <c r="V1157" s="3"/>
    </row>
    <row r="1158" spans="1:22" ht="31.5" x14ac:dyDescent="0.5">
      <c r="A1158" s="3"/>
      <c r="B1158" s="3"/>
      <c r="C1158" s="3"/>
      <c r="D1158" s="3"/>
      <c r="E1158" s="3"/>
      <c r="F1158" s="3"/>
      <c r="G1158" s="3"/>
      <c r="H1158" s="3"/>
      <c r="I1158" s="5"/>
      <c r="J1158" s="3"/>
      <c r="K1158" s="3"/>
      <c r="L1158" s="3"/>
      <c r="M1158" s="3"/>
      <c r="N1158" s="16"/>
      <c r="O1158" s="3"/>
      <c r="P1158" s="3"/>
      <c r="Q1158" s="3"/>
      <c r="R1158" s="3"/>
      <c r="S1158" s="3"/>
      <c r="T1158" s="3"/>
      <c r="U1158" s="3"/>
      <c r="V1158" s="3"/>
    </row>
    <row r="1159" spans="1:22" ht="31.5" x14ac:dyDescent="0.5">
      <c r="A1159" s="3"/>
      <c r="B1159" s="3"/>
      <c r="C1159" s="3"/>
      <c r="D1159" s="3"/>
      <c r="E1159" s="3"/>
      <c r="F1159" s="3"/>
      <c r="G1159" s="3"/>
      <c r="H1159" s="3"/>
      <c r="I1159" s="5"/>
      <c r="J1159" s="3"/>
      <c r="K1159" s="3"/>
      <c r="L1159" s="3"/>
      <c r="M1159" s="3"/>
      <c r="N1159" s="16"/>
      <c r="O1159" s="3"/>
      <c r="P1159" s="3"/>
      <c r="Q1159" s="3"/>
      <c r="R1159" s="3"/>
      <c r="S1159" s="3"/>
      <c r="T1159" s="3"/>
      <c r="U1159" s="3"/>
      <c r="V1159" s="3"/>
    </row>
    <row r="1160" spans="1:22" ht="31.5" x14ac:dyDescent="0.5">
      <c r="A1160" s="3"/>
      <c r="B1160" s="3"/>
      <c r="C1160" s="3"/>
      <c r="D1160" s="3"/>
      <c r="E1160" s="3"/>
      <c r="F1160" s="3"/>
      <c r="G1160" s="3"/>
      <c r="H1160" s="3"/>
      <c r="I1160" s="5"/>
      <c r="J1160" s="3"/>
      <c r="K1160" s="3"/>
      <c r="L1160" s="3"/>
      <c r="M1160" s="3"/>
      <c r="N1160" s="16"/>
      <c r="O1160" s="3"/>
      <c r="P1160" s="3"/>
      <c r="Q1160" s="3"/>
      <c r="R1160" s="3"/>
      <c r="S1160" s="3"/>
      <c r="T1160" s="3"/>
      <c r="U1160" s="3"/>
      <c r="V1160" s="3"/>
    </row>
    <row r="1161" spans="1:22" ht="31.5" x14ac:dyDescent="0.5">
      <c r="A1161" s="3"/>
      <c r="B1161" s="3"/>
      <c r="C1161" s="3"/>
      <c r="D1161" s="3"/>
      <c r="E1161" s="3"/>
      <c r="F1161" s="3"/>
      <c r="G1161" s="3"/>
      <c r="H1161" s="3"/>
      <c r="I1161" s="5"/>
      <c r="J1161" s="3"/>
      <c r="K1161" s="3"/>
      <c r="L1161" s="3"/>
      <c r="M1161" s="3"/>
      <c r="N1161" s="16"/>
      <c r="O1161" s="3"/>
      <c r="P1161" s="3"/>
      <c r="Q1161" s="3"/>
      <c r="R1161" s="3"/>
      <c r="S1161" s="3"/>
      <c r="T1161" s="3"/>
      <c r="U1161" s="3"/>
      <c r="V1161" s="3"/>
    </row>
    <row r="1162" spans="1:22" ht="31.5" x14ac:dyDescent="0.5">
      <c r="A1162" s="3"/>
      <c r="B1162" s="3"/>
      <c r="C1162" s="3"/>
      <c r="D1162" s="3"/>
      <c r="E1162" s="3"/>
      <c r="F1162" s="3"/>
      <c r="G1162" s="3"/>
      <c r="H1162" s="3"/>
      <c r="I1162" s="5"/>
      <c r="J1162" s="3"/>
      <c r="K1162" s="3"/>
      <c r="L1162" s="3"/>
      <c r="M1162" s="3"/>
      <c r="N1162" s="16"/>
      <c r="O1162" s="3"/>
      <c r="P1162" s="3"/>
      <c r="Q1162" s="3"/>
      <c r="R1162" s="3"/>
      <c r="S1162" s="3"/>
      <c r="T1162" s="3"/>
      <c r="U1162" s="3"/>
      <c r="V1162" s="3"/>
    </row>
    <row r="1163" spans="1:22" ht="31.5" x14ac:dyDescent="0.5">
      <c r="A1163" s="3"/>
      <c r="B1163" s="3"/>
      <c r="C1163" s="3"/>
      <c r="D1163" s="3"/>
      <c r="E1163" s="3"/>
      <c r="F1163" s="3"/>
      <c r="G1163" s="3"/>
      <c r="H1163" s="3"/>
      <c r="I1163" s="5"/>
      <c r="J1163" s="3"/>
      <c r="K1163" s="3"/>
      <c r="L1163" s="3"/>
      <c r="M1163" s="3"/>
      <c r="N1163" s="16"/>
      <c r="O1163" s="3"/>
      <c r="P1163" s="3"/>
      <c r="Q1163" s="3"/>
      <c r="R1163" s="3"/>
      <c r="S1163" s="3"/>
      <c r="T1163" s="3"/>
      <c r="U1163" s="3"/>
      <c r="V1163" s="3"/>
    </row>
    <row r="1164" spans="1:22" ht="31.5" x14ac:dyDescent="0.5">
      <c r="A1164" s="3"/>
      <c r="B1164" s="3"/>
      <c r="C1164" s="3"/>
      <c r="D1164" s="3"/>
      <c r="E1164" s="3"/>
      <c r="F1164" s="3"/>
      <c r="G1164" s="3"/>
      <c r="H1164" s="3"/>
      <c r="I1164" s="5"/>
      <c r="J1164" s="3"/>
      <c r="K1164" s="3"/>
      <c r="L1164" s="3"/>
      <c r="M1164" s="3"/>
      <c r="N1164" s="16"/>
      <c r="O1164" s="3"/>
      <c r="P1164" s="3"/>
      <c r="Q1164" s="3"/>
      <c r="R1164" s="3"/>
      <c r="S1164" s="3"/>
      <c r="T1164" s="3"/>
      <c r="U1164" s="3"/>
      <c r="V1164" s="3"/>
    </row>
    <row r="1165" spans="1:22" ht="31.5" x14ac:dyDescent="0.5">
      <c r="A1165" s="3"/>
      <c r="B1165" s="3"/>
      <c r="C1165" s="3"/>
      <c r="D1165" s="3"/>
      <c r="E1165" s="3"/>
      <c r="F1165" s="3"/>
      <c r="G1165" s="3"/>
      <c r="H1165" s="3"/>
      <c r="I1165" s="5"/>
      <c r="J1165" s="3"/>
      <c r="K1165" s="3"/>
      <c r="L1165" s="3"/>
      <c r="M1165" s="3"/>
      <c r="N1165" s="16"/>
      <c r="O1165" s="3"/>
      <c r="P1165" s="3"/>
      <c r="Q1165" s="3"/>
      <c r="R1165" s="3"/>
      <c r="S1165" s="3"/>
      <c r="T1165" s="3"/>
      <c r="U1165" s="3"/>
      <c r="V1165" s="3"/>
    </row>
    <row r="1166" spans="1:22" ht="31.5" x14ac:dyDescent="0.5">
      <c r="A1166" s="3"/>
      <c r="B1166" s="3"/>
      <c r="C1166" s="3"/>
      <c r="D1166" s="3"/>
      <c r="E1166" s="3"/>
      <c r="F1166" s="3"/>
      <c r="G1166" s="3"/>
      <c r="H1166" s="3"/>
      <c r="I1166" s="5"/>
      <c r="J1166" s="3"/>
      <c r="K1166" s="3"/>
      <c r="L1166" s="3"/>
      <c r="M1166" s="3"/>
      <c r="N1166" s="16"/>
      <c r="O1166" s="3"/>
      <c r="P1166" s="3"/>
      <c r="Q1166" s="3"/>
      <c r="R1166" s="3"/>
      <c r="S1166" s="3"/>
      <c r="T1166" s="3"/>
      <c r="U1166" s="3"/>
      <c r="V1166" s="3"/>
    </row>
    <row r="1167" spans="1:22" ht="31.5" x14ac:dyDescent="0.5">
      <c r="A1167" s="3"/>
      <c r="B1167" s="3"/>
      <c r="C1167" s="3"/>
      <c r="D1167" s="3"/>
      <c r="E1167" s="3"/>
      <c r="F1167" s="3"/>
      <c r="G1167" s="3"/>
      <c r="H1167" s="3"/>
      <c r="I1167" s="5"/>
      <c r="J1167" s="3"/>
      <c r="K1167" s="3"/>
      <c r="L1167" s="3"/>
      <c r="M1167" s="3"/>
      <c r="N1167" s="16"/>
      <c r="O1167" s="3"/>
      <c r="P1167" s="3"/>
      <c r="Q1167" s="3"/>
      <c r="R1167" s="3"/>
      <c r="S1167" s="3"/>
      <c r="T1167" s="3"/>
      <c r="U1167" s="3"/>
      <c r="V1167" s="3"/>
    </row>
    <row r="1168" spans="1:22" ht="31.5" x14ac:dyDescent="0.5">
      <c r="A1168" s="3"/>
      <c r="B1168" s="3"/>
      <c r="C1168" s="3"/>
      <c r="D1168" s="3"/>
      <c r="E1168" s="3"/>
      <c r="F1168" s="3"/>
      <c r="G1168" s="3"/>
      <c r="H1168" s="3"/>
      <c r="I1168" s="5"/>
      <c r="J1168" s="3"/>
      <c r="K1168" s="3"/>
      <c r="L1168" s="3"/>
      <c r="M1168" s="3"/>
      <c r="N1168" s="16"/>
      <c r="O1168" s="3"/>
      <c r="P1168" s="3"/>
      <c r="Q1168" s="3"/>
      <c r="R1168" s="3"/>
      <c r="S1168" s="3"/>
      <c r="T1168" s="3"/>
      <c r="U1168" s="3"/>
      <c r="V1168" s="3"/>
    </row>
    <row r="1169" spans="1:22" ht="31.5" x14ac:dyDescent="0.5">
      <c r="A1169" s="3"/>
      <c r="B1169" s="3"/>
      <c r="C1169" s="3"/>
      <c r="D1169" s="3"/>
      <c r="E1169" s="3"/>
      <c r="F1169" s="3"/>
      <c r="G1169" s="3"/>
      <c r="H1169" s="3"/>
      <c r="I1169" s="5"/>
      <c r="J1169" s="3"/>
      <c r="K1169" s="3"/>
      <c r="L1169" s="3"/>
      <c r="M1169" s="3"/>
      <c r="N1169" s="16"/>
      <c r="O1169" s="3"/>
      <c r="P1169" s="3"/>
      <c r="Q1169" s="3"/>
      <c r="R1169" s="3"/>
      <c r="S1169" s="3"/>
      <c r="T1169" s="3"/>
      <c r="U1169" s="3"/>
      <c r="V1169" s="3"/>
    </row>
    <row r="1170" spans="1:22" ht="31.5" x14ac:dyDescent="0.5">
      <c r="A1170" s="3"/>
      <c r="B1170" s="3"/>
      <c r="C1170" s="3"/>
      <c r="D1170" s="3"/>
      <c r="E1170" s="3"/>
      <c r="F1170" s="3"/>
      <c r="G1170" s="3"/>
      <c r="H1170" s="3"/>
      <c r="I1170" s="5"/>
      <c r="J1170" s="3"/>
      <c r="K1170" s="3"/>
      <c r="L1170" s="3"/>
      <c r="M1170" s="3"/>
      <c r="N1170" s="16"/>
      <c r="O1170" s="3"/>
      <c r="P1170" s="3"/>
      <c r="Q1170" s="3"/>
      <c r="R1170" s="3"/>
      <c r="S1170" s="3"/>
      <c r="T1170" s="3"/>
      <c r="U1170" s="3"/>
      <c r="V1170" s="3"/>
    </row>
    <row r="1171" spans="1:22" ht="31.5" x14ac:dyDescent="0.5">
      <c r="A1171" s="3"/>
      <c r="B1171" s="3"/>
      <c r="C1171" s="3"/>
      <c r="D1171" s="3"/>
      <c r="E1171" s="3"/>
      <c r="F1171" s="3"/>
      <c r="G1171" s="3"/>
      <c r="H1171" s="3"/>
      <c r="I1171" s="5"/>
      <c r="J1171" s="3"/>
      <c r="K1171" s="3"/>
      <c r="L1171" s="3"/>
      <c r="M1171" s="3"/>
      <c r="N1171" s="16"/>
      <c r="O1171" s="3"/>
      <c r="P1171" s="3"/>
      <c r="Q1171" s="3"/>
      <c r="R1171" s="3"/>
      <c r="S1171" s="3"/>
      <c r="T1171" s="3"/>
      <c r="U1171" s="3"/>
      <c r="V1171" s="3"/>
    </row>
    <row r="1172" spans="1:22" ht="31.5" x14ac:dyDescent="0.5">
      <c r="A1172" s="3"/>
      <c r="B1172" s="3"/>
      <c r="C1172" s="3"/>
      <c r="D1172" s="3"/>
      <c r="E1172" s="3"/>
      <c r="F1172" s="3"/>
      <c r="G1172" s="3"/>
      <c r="H1172" s="3"/>
      <c r="I1172" s="5"/>
      <c r="J1172" s="3"/>
      <c r="K1172" s="3"/>
      <c r="L1172" s="3"/>
      <c r="M1172" s="3"/>
      <c r="N1172" s="16"/>
      <c r="O1172" s="3"/>
      <c r="P1172" s="3"/>
      <c r="Q1172" s="3"/>
      <c r="R1172" s="3"/>
      <c r="S1172" s="3"/>
      <c r="T1172" s="3"/>
      <c r="U1172" s="3"/>
      <c r="V1172" s="3"/>
    </row>
    <row r="1173" spans="1:22" ht="31.5" x14ac:dyDescent="0.5">
      <c r="A1173" s="3"/>
      <c r="B1173" s="3"/>
      <c r="C1173" s="3"/>
      <c r="D1173" s="3"/>
      <c r="E1173" s="3"/>
      <c r="F1173" s="3"/>
      <c r="G1173" s="3"/>
      <c r="H1173" s="3"/>
      <c r="I1173" s="5"/>
      <c r="J1173" s="3"/>
      <c r="K1173" s="3"/>
      <c r="L1173" s="3"/>
      <c r="M1173" s="3"/>
      <c r="N1173" s="16"/>
      <c r="O1173" s="3"/>
      <c r="P1173" s="3"/>
      <c r="Q1173" s="3"/>
      <c r="R1173" s="3"/>
      <c r="S1173" s="3"/>
      <c r="T1173" s="3"/>
      <c r="U1173" s="3"/>
      <c r="V1173" s="3"/>
    </row>
    <row r="1174" spans="1:22" ht="31.5" x14ac:dyDescent="0.5">
      <c r="A1174" s="3"/>
      <c r="B1174" s="3"/>
      <c r="C1174" s="3"/>
      <c r="D1174" s="3"/>
      <c r="E1174" s="3"/>
      <c r="F1174" s="3"/>
      <c r="G1174" s="3"/>
      <c r="H1174" s="3"/>
      <c r="I1174" s="5"/>
      <c r="J1174" s="3"/>
      <c r="K1174" s="3"/>
      <c r="L1174" s="3"/>
      <c r="M1174" s="3"/>
      <c r="N1174" s="16"/>
      <c r="O1174" s="3"/>
      <c r="P1174" s="3"/>
      <c r="Q1174" s="3"/>
      <c r="R1174" s="3"/>
      <c r="S1174" s="3"/>
      <c r="T1174" s="3"/>
      <c r="U1174" s="3"/>
      <c r="V1174" s="3"/>
    </row>
    <row r="1175" spans="1:22" ht="31.5" x14ac:dyDescent="0.5">
      <c r="A1175" s="3"/>
      <c r="B1175" s="3"/>
      <c r="C1175" s="3"/>
      <c r="D1175" s="3"/>
      <c r="E1175" s="3"/>
      <c r="F1175" s="3"/>
      <c r="G1175" s="3"/>
      <c r="H1175" s="3"/>
      <c r="I1175" s="5"/>
      <c r="J1175" s="3"/>
      <c r="K1175" s="3"/>
      <c r="L1175" s="3"/>
      <c r="M1175" s="3"/>
      <c r="N1175" s="16"/>
      <c r="O1175" s="3"/>
      <c r="P1175" s="3"/>
      <c r="Q1175" s="3"/>
      <c r="R1175" s="3"/>
      <c r="S1175" s="3"/>
      <c r="T1175" s="3"/>
      <c r="U1175" s="3"/>
      <c r="V1175" s="3"/>
    </row>
    <row r="1176" spans="1:22" ht="31.5" x14ac:dyDescent="0.5">
      <c r="A1176" s="3"/>
      <c r="B1176" s="3"/>
      <c r="C1176" s="3"/>
      <c r="D1176" s="3"/>
      <c r="E1176" s="3"/>
      <c r="F1176" s="3"/>
      <c r="G1176" s="3"/>
      <c r="H1176" s="3"/>
      <c r="I1176" s="5"/>
      <c r="J1176" s="3"/>
      <c r="K1176" s="3"/>
      <c r="L1176" s="3"/>
      <c r="M1176" s="3"/>
      <c r="N1176" s="16"/>
      <c r="O1176" s="3"/>
      <c r="P1176" s="3"/>
      <c r="Q1176" s="3"/>
      <c r="R1176" s="3"/>
      <c r="S1176" s="3"/>
      <c r="T1176" s="3"/>
      <c r="U1176" s="3"/>
      <c r="V1176" s="3"/>
    </row>
    <row r="1177" spans="1:22" ht="31.5" x14ac:dyDescent="0.5">
      <c r="A1177" s="3"/>
      <c r="B1177" s="3"/>
      <c r="C1177" s="3"/>
      <c r="D1177" s="3"/>
      <c r="E1177" s="3"/>
      <c r="F1177" s="3"/>
      <c r="G1177" s="3"/>
      <c r="H1177" s="3"/>
      <c r="I1177" s="5"/>
      <c r="J1177" s="3"/>
      <c r="K1177" s="3"/>
      <c r="L1177" s="3"/>
      <c r="M1177" s="3"/>
      <c r="N1177" s="16"/>
      <c r="O1177" s="3"/>
      <c r="P1177" s="3"/>
      <c r="Q1177" s="3"/>
      <c r="R1177" s="3"/>
      <c r="S1177" s="3"/>
      <c r="T1177" s="3"/>
      <c r="U1177" s="3"/>
      <c r="V1177" s="3"/>
    </row>
    <row r="1178" spans="1:22" ht="31.5" x14ac:dyDescent="0.5">
      <c r="A1178" s="3"/>
      <c r="B1178" s="3"/>
      <c r="C1178" s="3"/>
      <c r="D1178" s="3"/>
      <c r="E1178" s="3"/>
      <c r="F1178" s="3"/>
      <c r="G1178" s="3"/>
      <c r="H1178" s="3"/>
      <c r="I1178" s="5"/>
      <c r="J1178" s="3"/>
      <c r="K1178" s="3"/>
      <c r="L1178" s="3"/>
      <c r="M1178" s="3"/>
      <c r="N1178" s="16"/>
      <c r="O1178" s="3"/>
      <c r="P1178" s="3"/>
      <c r="Q1178" s="3"/>
      <c r="R1178" s="3"/>
      <c r="S1178" s="3"/>
      <c r="T1178" s="3"/>
      <c r="U1178" s="3"/>
      <c r="V1178" s="3"/>
    </row>
    <row r="1179" spans="1:22" ht="31.5" x14ac:dyDescent="0.5">
      <c r="A1179" s="3"/>
      <c r="B1179" s="3"/>
      <c r="C1179" s="3"/>
      <c r="D1179" s="3"/>
      <c r="E1179" s="3"/>
      <c r="F1179" s="3"/>
      <c r="G1179" s="3"/>
      <c r="H1179" s="3"/>
      <c r="I1179" s="5"/>
      <c r="J1179" s="3"/>
      <c r="K1179" s="3"/>
      <c r="L1179" s="3"/>
      <c r="M1179" s="3"/>
      <c r="N1179" s="16"/>
      <c r="O1179" s="3"/>
      <c r="P1179" s="3"/>
      <c r="Q1179" s="3"/>
      <c r="R1179" s="3"/>
      <c r="S1179" s="3"/>
      <c r="T1179" s="3"/>
      <c r="U1179" s="3"/>
      <c r="V1179" s="3"/>
    </row>
    <row r="1180" spans="1:22" ht="31.5" x14ac:dyDescent="0.5">
      <c r="A1180" s="3"/>
      <c r="B1180" s="3"/>
      <c r="C1180" s="3"/>
      <c r="D1180" s="3"/>
      <c r="E1180" s="3"/>
      <c r="F1180" s="3"/>
      <c r="G1180" s="3"/>
      <c r="H1180" s="3"/>
      <c r="I1180" s="5"/>
      <c r="J1180" s="3"/>
      <c r="K1180" s="3"/>
      <c r="L1180" s="3"/>
      <c r="M1180" s="3"/>
      <c r="N1180" s="16"/>
      <c r="O1180" s="3"/>
      <c r="P1180" s="3"/>
      <c r="Q1180" s="3"/>
      <c r="R1180" s="3"/>
      <c r="S1180" s="3"/>
      <c r="T1180" s="3"/>
      <c r="U1180" s="3"/>
      <c r="V1180" s="3"/>
    </row>
    <row r="1181" spans="1:22" ht="31.5" x14ac:dyDescent="0.5">
      <c r="A1181" s="3"/>
      <c r="B1181" s="3"/>
      <c r="C1181" s="3"/>
      <c r="D1181" s="3"/>
      <c r="E1181" s="3"/>
      <c r="F1181" s="3"/>
      <c r="G1181" s="3"/>
      <c r="H1181" s="3"/>
      <c r="I1181" s="5"/>
      <c r="J1181" s="3"/>
      <c r="K1181" s="3"/>
      <c r="L1181" s="3"/>
      <c r="M1181" s="3"/>
      <c r="N1181" s="16"/>
      <c r="O1181" s="3"/>
      <c r="P1181" s="3"/>
      <c r="Q1181" s="3"/>
      <c r="R1181" s="3"/>
      <c r="S1181" s="3"/>
      <c r="T1181" s="3"/>
      <c r="U1181" s="3"/>
      <c r="V1181" s="3"/>
    </row>
    <row r="1182" spans="1:22" ht="31.5" x14ac:dyDescent="0.5">
      <c r="A1182" s="3"/>
      <c r="B1182" s="3"/>
      <c r="C1182" s="3"/>
      <c r="D1182" s="3"/>
      <c r="E1182" s="3"/>
      <c r="F1182" s="3"/>
      <c r="G1182" s="3"/>
      <c r="H1182" s="3"/>
      <c r="I1182" s="5"/>
      <c r="J1182" s="3"/>
      <c r="K1182" s="3"/>
      <c r="L1182" s="3"/>
      <c r="M1182" s="3"/>
      <c r="N1182" s="16"/>
      <c r="O1182" s="3"/>
      <c r="P1182" s="3"/>
      <c r="Q1182" s="3"/>
      <c r="R1182" s="3"/>
      <c r="S1182" s="3"/>
      <c r="T1182" s="3"/>
      <c r="U1182" s="3"/>
      <c r="V1182" s="3"/>
    </row>
    <row r="1183" spans="1:22" ht="31.5" x14ac:dyDescent="0.5">
      <c r="A1183" s="3"/>
      <c r="B1183" s="3"/>
      <c r="C1183" s="3"/>
      <c r="D1183" s="3"/>
      <c r="E1183" s="3"/>
      <c r="F1183" s="3"/>
      <c r="G1183" s="3"/>
      <c r="H1183" s="3"/>
      <c r="I1183" s="5"/>
      <c r="J1183" s="3"/>
      <c r="K1183" s="3"/>
      <c r="L1183" s="3"/>
      <c r="M1183" s="3"/>
      <c r="N1183" s="16"/>
      <c r="O1183" s="3"/>
      <c r="P1183" s="3"/>
      <c r="Q1183" s="3"/>
      <c r="R1183" s="3"/>
      <c r="S1183" s="3"/>
      <c r="T1183" s="3"/>
      <c r="U1183" s="3"/>
      <c r="V1183" s="3"/>
    </row>
    <row r="1184" spans="1:22" ht="31.5" x14ac:dyDescent="0.5">
      <c r="A1184" s="3"/>
      <c r="B1184" s="3"/>
      <c r="C1184" s="3"/>
      <c r="D1184" s="3"/>
      <c r="E1184" s="3"/>
      <c r="F1184" s="3"/>
      <c r="G1184" s="3"/>
      <c r="H1184" s="3"/>
      <c r="I1184" s="5"/>
      <c r="J1184" s="3"/>
      <c r="K1184" s="3"/>
      <c r="L1184" s="3"/>
      <c r="M1184" s="3"/>
      <c r="N1184" s="16"/>
      <c r="O1184" s="3"/>
      <c r="P1184" s="3"/>
      <c r="Q1184" s="3"/>
      <c r="R1184" s="3"/>
      <c r="S1184" s="3"/>
      <c r="T1184" s="3"/>
      <c r="U1184" s="3"/>
      <c r="V1184" s="3"/>
    </row>
    <row r="1185" spans="1:22" ht="31.5" x14ac:dyDescent="0.5">
      <c r="A1185" s="3"/>
      <c r="B1185" s="3"/>
      <c r="C1185" s="3"/>
      <c r="D1185" s="3"/>
      <c r="E1185" s="3"/>
      <c r="F1185" s="3"/>
      <c r="G1185" s="3"/>
      <c r="H1185" s="3"/>
      <c r="I1185" s="5"/>
      <c r="J1185" s="3"/>
      <c r="K1185" s="3"/>
      <c r="L1185" s="3"/>
      <c r="M1185" s="3"/>
      <c r="N1185" s="16"/>
      <c r="O1185" s="3"/>
      <c r="P1185" s="3"/>
      <c r="Q1185" s="3"/>
      <c r="R1185" s="3"/>
      <c r="S1185" s="3"/>
      <c r="T1185" s="3"/>
      <c r="U1185" s="3"/>
      <c r="V1185" s="3"/>
    </row>
    <row r="1186" spans="1:22" ht="31.5" x14ac:dyDescent="0.5">
      <c r="A1186" s="3"/>
      <c r="B1186" s="3"/>
      <c r="C1186" s="3"/>
      <c r="D1186" s="3"/>
      <c r="E1186" s="3"/>
      <c r="F1186" s="3"/>
      <c r="G1186" s="3"/>
      <c r="H1186" s="3"/>
      <c r="I1186" s="5"/>
      <c r="J1186" s="3"/>
      <c r="K1186" s="3"/>
      <c r="L1186" s="3"/>
      <c r="M1186" s="3"/>
      <c r="N1186" s="16"/>
      <c r="O1186" s="3"/>
      <c r="P1186" s="3"/>
      <c r="Q1186" s="3"/>
      <c r="R1186" s="3"/>
      <c r="S1186" s="3"/>
      <c r="T1186" s="3"/>
      <c r="U1186" s="3"/>
      <c r="V1186" s="3"/>
    </row>
    <row r="1187" spans="1:22" ht="31.5" x14ac:dyDescent="0.5">
      <c r="A1187" s="3"/>
      <c r="B1187" s="3"/>
      <c r="C1187" s="3"/>
      <c r="D1187" s="3"/>
      <c r="E1187" s="3"/>
      <c r="F1187" s="3"/>
      <c r="G1187" s="3"/>
      <c r="H1187" s="3"/>
      <c r="I1187" s="5"/>
      <c r="J1187" s="3"/>
      <c r="K1187" s="3"/>
      <c r="L1187" s="3"/>
      <c r="M1187" s="3"/>
      <c r="N1187" s="16"/>
      <c r="O1187" s="3"/>
      <c r="P1187" s="3"/>
      <c r="Q1187" s="3"/>
      <c r="R1187" s="3"/>
      <c r="S1187" s="3"/>
      <c r="T1187" s="3"/>
      <c r="U1187" s="3"/>
      <c r="V1187" s="3"/>
    </row>
    <row r="1188" spans="1:22" ht="31.5" x14ac:dyDescent="0.5">
      <c r="A1188" s="3"/>
      <c r="B1188" s="3"/>
      <c r="C1188" s="3"/>
      <c r="D1188" s="3"/>
      <c r="E1188" s="3"/>
      <c r="F1188" s="3"/>
      <c r="G1188" s="3"/>
      <c r="H1188" s="3"/>
      <c r="I1188" s="5"/>
      <c r="J1188" s="3"/>
      <c r="K1188" s="3"/>
      <c r="L1188" s="3"/>
      <c r="M1188" s="3"/>
      <c r="N1188" s="16"/>
      <c r="O1188" s="3"/>
      <c r="P1188" s="3"/>
      <c r="Q1188" s="3"/>
      <c r="R1188" s="3"/>
      <c r="S1188" s="3"/>
      <c r="T1188" s="3"/>
      <c r="U1188" s="3"/>
      <c r="V1188" s="3"/>
    </row>
    <row r="1189" spans="1:22" ht="31.5" x14ac:dyDescent="0.5">
      <c r="A1189" s="3"/>
      <c r="B1189" s="3"/>
      <c r="C1189" s="3"/>
      <c r="D1189" s="3"/>
      <c r="E1189" s="3"/>
      <c r="F1189" s="3"/>
      <c r="G1189" s="3"/>
      <c r="H1189" s="3"/>
      <c r="I1189" s="5"/>
      <c r="J1189" s="3"/>
      <c r="K1189" s="3"/>
      <c r="L1189" s="3"/>
      <c r="M1189" s="3"/>
      <c r="N1189" s="16"/>
      <c r="O1189" s="3"/>
      <c r="P1189" s="3"/>
      <c r="Q1189" s="3"/>
      <c r="R1189" s="3"/>
      <c r="S1189" s="3"/>
      <c r="T1189" s="3"/>
      <c r="U1189" s="3"/>
      <c r="V1189" s="3"/>
    </row>
    <row r="1190" spans="1:22" ht="31.5" x14ac:dyDescent="0.5">
      <c r="A1190" s="3"/>
      <c r="B1190" s="3"/>
      <c r="C1190" s="3"/>
      <c r="D1190" s="3"/>
      <c r="E1190" s="3"/>
      <c r="F1190" s="3"/>
      <c r="G1190" s="3"/>
      <c r="H1190" s="3"/>
      <c r="I1190" s="5"/>
      <c r="J1190" s="3"/>
      <c r="K1190" s="3"/>
      <c r="L1190" s="3"/>
      <c r="M1190" s="3"/>
      <c r="N1190" s="16"/>
      <c r="O1190" s="3"/>
      <c r="P1190" s="3"/>
      <c r="Q1190" s="3"/>
      <c r="R1190" s="3"/>
      <c r="S1190" s="3"/>
      <c r="T1190" s="3"/>
      <c r="U1190" s="3"/>
      <c r="V1190" s="3"/>
    </row>
    <row r="1191" spans="1:22" ht="31.5" x14ac:dyDescent="0.5">
      <c r="A1191" s="3"/>
      <c r="B1191" s="3"/>
      <c r="C1191" s="3"/>
      <c r="D1191" s="3"/>
      <c r="E1191" s="3"/>
      <c r="F1191" s="3"/>
      <c r="G1191" s="3"/>
      <c r="H1191" s="3"/>
      <c r="I1191" s="5"/>
      <c r="J1191" s="3"/>
      <c r="K1191" s="3"/>
      <c r="L1191" s="3"/>
      <c r="M1191" s="3"/>
      <c r="N1191" s="16"/>
      <c r="O1191" s="3"/>
      <c r="P1191" s="3"/>
      <c r="Q1191" s="3"/>
      <c r="R1191" s="3"/>
      <c r="S1191" s="3"/>
      <c r="T1191" s="3"/>
      <c r="U1191" s="3"/>
      <c r="V1191" s="3"/>
    </row>
    <row r="1192" spans="1:22" ht="31.5" x14ac:dyDescent="0.5">
      <c r="A1192" s="3"/>
      <c r="B1192" s="3"/>
      <c r="C1192" s="3"/>
      <c r="D1192" s="3"/>
      <c r="E1192" s="3"/>
      <c r="F1192" s="3"/>
      <c r="G1192" s="3"/>
      <c r="H1192" s="3"/>
      <c r="I1192" s="5"/>
      <c r="J1192" s="3"/>
      <c r="K1192" s="3"/>
      <c r="L1192" s="3"/>
      <c r="M1192" s="3"/>
      <c r="N1192" s="16"/>
      <c r="O1192" s="3"/>
      <c r="P1192" s="3"/>
      <c r="Q1192" s="3"/>
      <c r="R1192" s="3"/>
      <c r="S1192" s="3"/>
      <c r="T1192" s="3"/>
      <c r="U1192" s="3"/>
      <c r="V1192" s="3"/>
    </row>
    <row r="1193" spans="1:22" ht="31.5" x14ac:dyDescent="0.5">
      <c r="A1193" s="3"/>
      <c r="B1193" s="3"/>
      <c r="C1193" s="3"/>
      <c r="D1193" s="3"/>
      <c r="E1193" s="3"/>
      <c r="F1193" s="3"/>
      <c r="G1193" s="3"/>
      <c r="H1193" s="3"/>
      <c r="I1193" s="5"/>
      <c r="J1193" s="3"/>
      <c r="K1193" s="3"/>
      <c r="L1193" s="3"/>
      <c r="M1193" s="3"/>
      <c r="N1193" s="16"/>
      <c r="O1193" s="3"/>
      <c r="P1193" s="3"/>
      <c r="Q1193" s="3"/>
      <c r="R1193" s="3"/>
      <c r="S1193" s="3"/>
      <c r="T1193" s="3"/>
      <c r="U1193" s="3"/>
      <c r="V1193" s="3"/>
    </row>
    <row r="1194" spans="1:22" ht="31.5" x14ac:dyDescent="0.5">
      <c r="A1194" s="3"/>
      <c r="B1194" s="3"/>
      <c r="C1194" s="3"/>
      <c r="D1194" s="3"/>
      <c r="E1194" s="3"/>
      <c r="F1194" s="3"/>
      <c r="G1194" s="3"/>
      <c r="H1194" s="3"/>
      <c r="I1194" s="5"/>
      <c r="J1194" s="3"/>
      <c r="K1194" s="3"/>
      <c r="L1194" s="3"/>
      <c r="M1194" s="3"/>
      <c r="N1194" s="16"/>
      <c r="O1194" s="3"/>
      <c r="P1194" s="3"/>
      <c r="Q1194" s="3"/>
      <c r="R1194" s="3"/>
      <c r="S1194" s="3"/>
      <c r="T1194" s="3"/>
      <c r="U1194" s="3"/>
      <c r="V1194" s="3"/>
    </row>
    <row r="1195" spans="1:22" ht="31.5" x14ac:dyDescent="0.5">
      <c r="A1195" s="3"/>
      <c r="B1195" s="3"/>
      <c r="C1195" s="3"/>
      <c r="D1195" s="3"/>
      <c r="E1195" s="3"/>
      <c r="F1195" s="3"/>
      <c r="G1195" s="3"/>
      <c r="H1195" s="3"/>
      <c r="I1195" s="5"/>
      <c r="J1195" s="3"/>
      <c r="K1195" s="3"/>
      <c r="L1195" s="3"/>
      <c r="M1195" s="3"/>
      <c r="N1195" s="16"/>
      <c r="O1195" s="3"/>
      <c r="P1195" s="3"/>
      <c r="Q1195" s="3"/>
      <c r="R1195" s="3"/>
      <c r="S1195" s="3"/>
      <c r="T1195" s="3"/>
      <c r="U1195" s="3"/>
      <c r="V1195" s="3"/>
    </row>
    <row r="1196" spans="1:22" ht="31.5" x14ac:dyDescent="0.5">
      <c r="A1196" s="3"/>
      <c r="B1196" s="3"/>
      <c r="C1196" s="3"/>
      <c r="D1196" s="3"/>
      <c r="E1196" s="3"/>
      <c r="F1196" s="3"/>
      <c r="G1196" s="3"/>
      <c r="H1196" s="3"/>
      <c r="I1196" s="5"/>
      <c r="J1196" s="3"/>
      <c r="K1196" s="3"/>
      <c r="L1196" s="3"/>
      <c r="M1196" s="3"/>
      <c r="N1196" s="16"/>
      <c r="O1196" s="3"/>
      <c r="P1196" s="3"/>
      <c r="Q1196" s="3"/>
      <c r="R1196" s="3"/>
      <c r="S1196" s="3"/>
      <c r="T1196" s="3"/>
      <c r="U1196" s="3"/>
      <c r="V1196" s="3"/>
    </row>
    <row r="1197" spans="1:22" ht="31.5" x14ac:dyDescent="0.5">
      <c r="A1197" s="3"/>
      <c r="B1197" s="3"/>
      <c r="C1197" s="3"/>
      <c r="D1197" s="3"/>
      <c r="E1197" s="3"/>
      <c r="F1197" s="3"/>
      <c r="G1197" s="3"/>
      <c r="H1197" s="3"/>
      <c r="I1197" s="5"/>
      <c r="J1197" s="3"/>
      <c r="K1197" s="3"/>
      <c r="L1197" s="3"/>
      <c r="M1197" s="3"/>
      <c r="N1197" s="16"/>
      <c r="O1197" s="3"/>
      <c r="P1197" s="3"/>
      <c r="Q1197" s="3"/>
      <c r="R1197" s="3"/>
      <c r="S1197" s="3"/>
      <c r="T1197" s="3"/>
      <c r="U1197" s="3"/>
      <c r="V1197" s="3"/>
    </row>
    <row r="1198" spans="1:22" ht="31.5" x14ac:dyDescent="0.5">
      <c r="A1198" s="3"/>
      <c r="B1198" s="3"/>
      <c r="C1198" s="3"/>
      <c r="D1198" s="3"/>
      <c r="E1198" s="3"/>
      <c r="F1198" s="3"/>
      <c r="G1198" s="3"/>
      <c r="H1198" s="3"/>
      <c r="I1198" s="5"/>
      <c r="J1198" s="3"/>
      <c r="K1198" s="3"/>
      <c r="L1198" s="3"/>
      <c r="M1198" s="3"/>
      <c r="N1198" s="16"/>
      <c r="O1198" s="3"/>
      <c r="P1198" s="3"/>
      <c r="Q1198" s="3"/>
      <c r="R1198" s="3"/>
      <c r="S1198" s="3"/>
      <c r="T1198" s="3"/>
      <c r="U1198" s="3"/>
      <c r="V1198" s="3"/>
    </row>
    <row r="1199" spans="1:22" ht="31.5" x14ac:dyDescent="0.5">
      <c r="A1199" s="3"/>
      <c r="B1199" s="3"/>
      <c r="C1199" s="3"/>
      <c r="D1199" s="3"/>
      <c r="E1199" s="3"/>
      <c r="F1199" s="3"/>
      <c r="G1199" s="3"/>
      <c r="H1199" s="3"/>
      <c r="I1199" s="5"/>
      <c r="J1199" s="3"/>
      <c r="K1199" s="3"/>
      <c r="L1199" s="3"/>
      <c r="M1199" s="3"/>
      <c r="N1199" s="16"/>
      <c r="O1199" s="3"/>
      <c r="P1199" s="3"/>
      <c r="Q1199" s="3"/>
      <c r="R1199" s="3"/>
      <c r="S1199" s="3"/>
      <c r="T1199" s="3"/>
      <c r="U1199" s="3"/>
      <c r="V1199" s="3"/>
    </row>
    <row r="1200" spans="1:22" ht="31.5" x14ac:dyDescent="0.5">
      <c r="A1200" s="3"/>
      <c r="B1200" s="3"/>
      <c r="C1200" s="3"/>
      <c r="D1200" s="3"/>
      <c r="E1200" s="3"/>
      <c r="F1200" s="3"/>
      <c r="G1200" s="3"/>
      <c r="H1200" s="3"/>
      <c r="I1200" s="5"/>
      <c r="J1200" s="3"/>
      <c r="K1200" s="3"/>
      <c r="L1200" s="3"/>
      <c r="M1200" s="3"/>
      <c r="N1200" s="16"/>
      <c r="O1200" s="3"/>
      <c r="P1200" s="3"/>
      <c r="Q1200" s="3"/>
      <c r="R1200" s="3"/>
      <c r="S1200" s="3"/>
      <c r="T1200" s="3"/>
      <c r="U1200" s="3"/>
      <c r="V1200" s="3"/>
    </row>
    <row r="1201" spans="1:22" ht="31.5" x14ac:dyDescent="0.5">
      <c r="A1201" s="3"/>
      <c r="B1201" s="3"/>
      <c r="C1201" s="3"/>
      <c r="D1201" s="3"/>
      <c r="E1201" s="3"/>
      <c r="F1201" s="3"/>
      <c r="G1201" s="3"/>
      <c r="H1201" s="3"/>
      <c r="I1201" s="5"/>
      <c r="J1201" s="3"/>
      <c r="K1201" s="3"/>
      <c r="L1201" s="3"/>
      <c r="M1201" s="3"/>
      <c r="N1201" s="16"/>
      <c r="O1201" s="3"/>
      <c r="P1201" s="3"/>
      <c r="Q1201" s="3"/>
      <c r="R1201" s="3"/>
      <c r="S1201" s="3"/>
      <c r="T1201" s="3"/>
      <c r="U1201" s="3"/>
      <c r="V1201" s="3"/>
    </row>
    <row r="1202" spans="1:22" ht="31.5" x14ac:dyDescent="0.5">
      <c r="A1202" s="3"/>
      <c r="B1202" s="3"/>
      <c r="C1202" s="3"/>
      <c r="D1202" s="3"/>
      <c r="E1202" s="3"/>
      <c r="F1202" s="3"/>
      <c r="G1202" s="3"/>
      <c r="H1202" s="3"/>
      <c r="I1202" s="5"/>
      <c r="J1202" s="3"/>
      <c r="K1202" s="3"/>
      <c r="L1202" s="3"/>
      <c r="M1202" s="3"/>
      <c r="N1202" s="16"/>
      <c r="O1202" s="3"/>
      <c r="P1202" s="3"/>
      <c r="Q1202" s="3"/>
      <c r="R1202" s="3"/>
      <c r="S1202" s="3"/>
      <c r="T1202" s="3"/>
      <c r="U1202" s="3"/>
      <c r="V1202" s="3"/>
    </row>
    <row r="1203" spans="1:22" ht="31.5" x14ac:dyDescent="0.5">
      <c r="A1203" s="3"/>
      <c r="B1203" s="3"/>
      <c r="C1203" s="3"/>
      <c r="D1203" s="3"/>
      <c r="E1203" s="3"/>
      <c r="F1203" s="3"/>
      <c r="G1203" s="3"/>
      <c r="H1203" s="3"/>
      <c r="I1203" s="5"/>
      <c r="J1203" s="3"/>
      <c r="K1203" s="3"/>
      <c r="L1203" s="3"/>
      <c r="M1203" s="3"/>
      <c r="N1203" s="16"/>
      <c r="O1203" s="3"/>
      <c r="P1203" s="3"/>
      <c r="Q1203" s="3"/>
      <c r="R1203" s="3"/>
      <c r="S1203" s="3"/>
      <c r="T1203" s="3"/>
      <c r="U1203" s="3"/>
      <c r="V1203" s="3"/>
    </row>
    <row r="1204" spans="1:22" ht="31.5" x14ac:dyDescent="0.5">
      <c r="A1204" s="3"/>
      <c r="B1204" s="3"/>
      <c r="C1204" s="3"/>
      <c r="D1204" s="3"/>
      <c r="E1204" s="3"/>
      <c r="F1204" s="3"/>
      <c r="G1204" s="3"/>
      <c r="H1204" s="3"/>
      <c r="I1204" s="5"/>
      <c r="J1204" s="3"/>
      <c r="K1204" s="3"/>
      <c r="L1204" s="3"/>
      <c r="M1204" s="3"/>
      <c r="N1204" s="16"/>
      <c r="O1204" s="3"/>
      <c r="P1204" s="3"/>
      <c r="Q1204" s="3"/>
      <c r="R1204" s="3"/>
      <c r="S1204" s="3"/>
      <c r="T1204" s="3"/>
      <c r="U1204" s="3"/>
      <c r="V1204" s="3"/>
    </row>
    <row r="1205" spans="1:22" ht="31.5" x14ac:dyDescent="0.5">
      <c r="A1205" s="3"/>
      <c r="B1205" s="3"/>
      <c r="C1205" s="3"/>
      <c r="D1205" s="3"/>
      <c r="E1205" s="3"/>
      <c r="F1205" s="3"/>
      <c r="G1205" s="3"/>
      <c r="H1205" s="3"/>
      <c r="I1205" s="5"/>
      <c r="J1205" s="3"/>
      <c r="K1205" s="3"/>
      <c r="L1205" s="3"/>
      <c r="M1205" s="3"/>
      <c r="N1205" s="16"/>
      <c r="O1205" s="3"/>
      <c r="P1205" s="3"/>
      <c r="Q1205" s="3"/>
      <c r="R1205" s="3"/>
      <c r="S1205" s="3"/>
      <c r="T1205" s="3"/>
      <c r="U1205" s="3"/>
      <c r="V1205" s="3"/>
    </row>
    <row r="1206" spans="1:22" ht="31.5" x14ac:dyDescent="0.5">
      <c r="A1206" s="3"/>
      <c r="B1206" s="3"/>
      <c r="C1206" s="3"/>
      <c r="D1206" s="3"/>
      <c r="E1206" s="3"/>
      <c r="F1206" s="3"/>
      <c r="G1206" s="3"/>
      <c r="H1206" s="3"/>
      <c r="I1206" s="5"/>
      <c r="J1206" s="3"/>
      <c r="K1206" s="3"/>
      <c r="L1206" s="3"/>
      <c r="M1206" s="3"/>
      <c r="N1206" s="16"/>
      <c r="O1206" s="3"/>
      <c r="P1206" s="3"/>
      <c r="Q1206" s="3"/>
      <c r="R1206" s="3"/>
      <c r="S1206" s="3"/>
      <c r="T1206" s="3"/>
      <c r="U1206" s="3"/>
      <c r="V1206" s="3"/>
    </row>
    <row r="1207" spans="1:22" ht="31.5" x14ac:dyDescent="0.5">
      <c r="A1207" s="3"/>
      <c r="B1207" s="3"/>
      <c r="C1207" s="3"/>
      <c r="D1207" s="3"/>
      <c r="E1207" s="3"/>
      <c r="F1207" s="3"/>
      <c r="G1207" s="3"/>
      <c r="H1207" s="3"/>
      <c r="I1207" s="5"/>
      <c r="J1207" s="3"/>
      <c r="K1207" s="3"/>
      <c r="L1207" s="3"/>
      <c r="M1207" s="3"/>
      <c r="N1207" s="16"/>
      <c r="O1207" s="3"/>
      <c r="P1207" s="3"/>
      <c r="Q1207" s="3"/>
      <c r="R1207" s="3"/>
      <c r="S1207" s="3"/>
      <c r="T1207" s="3"/>
      <c r="U1207" s="3"/>
      <c r="V1207" s="3"/>
    </row>
    <row r="1208" spans="1:22" ht="31.5" x14ac:dyDescent="0.5">
      <c r="A1208" s="3"/>
      <c r="B1208" s="3"/>
      <c r="C1208" s="3"/>
      <c r="D1208" s="3"/>
      <c r="E1208" s="3"/>
      <c r="F1208" s="3"/>
      <c r="G1208" s="3"/>
      <c r="H1208" s="3"/>
      <c r="I1208" s="5"/>
      <c r="J1208" s="3"/>
      <c r="K1208" s="3"/>
      <c r="L1208" s="3"/>
      <c r="M1208" s="3"/>
      <c r="N1208" s="16"/>
      <c r="O1208" s="3"/>
      <c r="P1208" s="3"/>
      <c r="Q1208" s="3"/>
      <c r="R1208" s="3"/>
      <c r="S1208" s="3"/>
      <c r="T1208" s="3"/>
      <c r="U1208" s="3"/>
      <c r="V1208" s="3"/>
    </row>
    <row r="1209" spans="1:22" ht="31.5" x14ac:dyDescent="0.5">
      <c r="A1209" s="3"/>
      <c r="B1209" s="3"/>
      <c r="C1209" s="3"/>
      <c r="D1209" s="3"/>
      <c r="E1209" s="3"/>
      <c r="F1209" s="3"/>
      <c r="G1209" s="3"/>
      <c r="H1209" s="3"/>
      <c r="I1209" s="5"/>
      <c r="J1209" s="3"/>
      <c r="K1209" s="3"/>
      <c r="L1209" s="3"/>
      <c r="M1209" s="3"/>
      <c r="N1209" s="16"/>
      <c r="O1209" s="3"/>
      <c r="P1209" s="3"/>
      <c r="Q1209" s="3"/>
      <c r="R1209" s="3"/>
      <c r="S1209" s="3"/>
      <c r="T1209" s="3"/>
      <c r="U1209" s="3"/>
      <c r="V1209" s="3"/>
    </row>
    <row r="1210" spans="1:22" ht="31.5" x14ac:dyDescent="0.5">
      <c r="A1210" s="3"/>
      <c r="B1210" s="3"/>
      <c r="C1210" s="3"/>
      <c r="D1210" s="3"/>
      <c r="E1210" s="3"/>
      <c r="F1210" s="3"/>
      <c r="G1210" s="3"/>
      <c r="H1210" s="3"/>
      <c r="I1210" s="5"/>
      <c r="J1210" s="3"/>
      <c r="K1210" s="3"/>
      <c r="L1210" s="3"/>
      <c r="M1210" s="3"/>
      <c r="N1210" s="16"/>
      <c r="O1210" s="3"/>
      <c r="P1210" s="3"/>
      <c r="Q1210" s="3"/>
      <c r="R1210" s="3"/>
      <c r="S1210" s="3"/>
      <c r="T1210" s="3"/>
      <c r="U1210" s="3"/>
      <c r="V1210" s="3"/>
    </row>
    <row r="1211" spans="1:22" ht="31.5" x14ac:dyDescent="0.5">
      <c r="A1211" s="3"/>
      <c r="B1211" s="3"/>
      <c r="C1211" s="3"/>
      <c r="D1211" s="3"/>
      <c r="E1211" s="3"/>
      <c r="F1211" s="3"/>
      <c r="G1211" s="3"/>
      <c r="H1211" s="3"/>
      <c r="I1211" s="5"/>
      <c r="J1211" s="3"/>
      <c r="K1211" s="3"/>
      <c r="L1211" s="3"/>
      <c r="M1211" s="3"/>
      <c r="N1211" s="16"/>
      <c r="O1211" s="3"/>
      <c r="P1211" s="3"/>
      <c r="Q1211" s="3"/>
      <c r="R1211" s="3"/>
      <c r="S1211" s="3"/>
      <c r="T1211" s="3"/>
      <c r="U1211" s="3"/>
      <c r="V1211" s="3"/>
    </row>
    <row r="1212" spans="1:22" ht="31.5" x14ac:dyDescent="0.5">
      <c r="A1212" s="3"/>
      <c r="B1212" s="3"/>
      <c r="C1212" s="3"/>
      <c r="D1212" s="3"/>
      <c r="E1212" s="3"/>
      <c r="F1212" s="3"/>
      <c r="G1212" s="3"/>
      <c r="H1212" s="3"/>
      <c r="I1212" s="5"/>
      <c r="J1212" s="3"/>
      <c r="K1212" s="3"/>
      <c r="L1212" s="3"/>
      <c r="M1212" s="3"/>
      <c r="N1212" s="16"/>
      <c r="O1212" s="3"/>
      <c r="P1212" s="3"/>
      <c r="Q1212" s="3"/>
      <c r="R1212" s="3"/>
      <c r="S1212" s="3"/>
      <c r="T1212" s="3"/>
      <c r="U1212" s="3"/>
      <c r="V1212" s="3"/>
    </row>
    <row r="1213" spans="1:22" ht="31.5" x14ac:dyDescent="0.5">
      <c r="A1213" s="3"/>
      <c r="B1213" s="3"/>
      <c r="C1213" s="3"/>
      <c r="D1213" s="3"/>
      <c r="E1213" s="3"/>
      <c r="F1213" s="3"/>
      <c r="G1213" s="3"/>
      <c r="H1213" s="3"/>
      <c r="I1213" s="5"/>
      <c r="J1213" s="3"/>
      <c r="K1213" s="3"/>
      <c r="L1213" s="3"/>
      <c r="M1213" s="3"/>
      <c r="N1213" s="16"/>
      <c r="O1213" s="3"/>
      <c r="P1213" s="3"/>
      <c r="Q1213" s="3"/>
      <c r="R1213" s="3"/>
      <c r="S1213" s="3"/>
      <c r="T1213" s="3"/>
      <c r="U1213" s="3"/>
      <c r="V1213" s="3"/>
    </row>
    <row r="1214" spans="1:22" ht="31.5" x14ac:dyDescent="0.5">
      <c r="A1214" s="3"/>
      <c r="B1214" s="3"/>
      <c r="C1214" s="3"/>
      <c r="D1214" s="3"/>
      <c r="E1214" s="3"/>
      <c r="F1214" s="3"/>
      <c r="G1214" s="3"/>
      <c r="H1214" s="3"/>
      <c r="I1214" s="5"/>
      <c r="J1214" s="3"/>
      <c r="K1214" s="3"/>
      <c r="L1214" s="3"/>
      <c r="M1214" s="3"/>
      <c r="N1214" s="16"/>
      <c r="O1214" s="3"/>
      <c r="P1214" s="3"/>
      <c r="Q1214" s="3"/>
      <c r="R1214" s="3"/>
      <c r="S1214" s="3"/>
      <c r="T1214" s="3"/>
      <c r="U1214" s="3"/>
      <c r="V1214" s="3"/>
    </row>
    <row r="1215" spans="1:22" ht="31.5" x14ac:dyDescent="0.5">
      <c r="A1215" s="3"/>
      <c r="B1215" s="3"/>
      <c r="C1215" s="3"/>
      <c r="D1215" s="3"/>
      <c r="E1215" s="3"/>
      <c r="F1215" s="3"/>
      <c r="G1215" s="3"/>
      <c r="H1215" s="3"/>
      <c r="I1215" s="5"/>
      <c r="J1215" s="3"/>
      <c r="K1215" s="3"/>
      <c r="L1215" s="3"/>
      <c r="M1215" s="3"/>
      <c r="N1215" s="16"/>
      <c r="O1215" s="3"/>
      <c r="P1215" s="3"/>
      <c r="Q1215" s="3"/>
      <c r="R1215" s="3"/>
      <c r="S1215" s="3"/>
      <c r="T1215" s="3"/>
      <c r="U1215" s="3"/>
      <c r="V1215" s="3"/>
    </row>
    <row r="1216" spans="1:22" ht="31.5" x14ac:dyDescent="0.5">
      <c r="A1216" s="3"/>
      <c r="B1216" s="3"/>
      <c r="C1216" s="3"/>
      <c r="D1216" s="3"/>
      <c r="E1216" s="3"/>
      <c r="F1216" s="3"/>
      <c r="G1216" s="3"/>
      <c r="H1216" s="3"/>
      <c r="I1216" s="5"/>
      <c r="J1216" s="3"/>
      <c r="K1216" s="3"/>
      <c r="L1216" s="3"/>
      <c r="M1216" s="3"/>
      <c r="N1216" s="16"/>
      <c r="O1216" s="3"/>
      <c r="P1216" s="3"/>
      <c r="Q1216" s="3"/>
      <c r="R1216" s="3"/>
      <c r="S1216" s="3"/>
      <c r="T1216" s="3"/>
      <c r="U1216" s="3"/>
      <c r="V1216" s="3"/>
    </row>
    <row r="1217" spans="1:22" ht="31.5" x14ac:dyDescent="0.5">
      <c r="A1217" s="3"/>
      <c r="B1217" s="3"/>
      <c r="C1217" s="3"/>
      <c r="D1217" s="3"/>
      <c r="E1217" s="3"/>
      <c r="F1217" s="3"/>
      <c r="G1217" s="3"/>
      <c r="H1217" s="3"/>
      <c r="I1217" s="5"/>
      <c r="J1217" s="3"/>
      <c r="K1217" s="3"/>
      <c r="L1217" s="3"/>
      <c r="M1217" s="3"/>
      <c r="N1217" s="16"/>
      <c r="O1217" s="3"/>
      <c r="P1217" s="3"/>
      <c r="Q1217" s="3"/>
      <c r="R1217" s="3"/>
      <c r="S1217" s="3"/>
      <c r="T1217" s="3"/>
      <c r="U1217" s="3"/>
      <c r="V1217" s="3"/>
    </row>
    <row r="1218" spans="1:22" ht="31.5" x14ac:dyDescent="0.5">
      <c r="A1218" s="3"/>
      <c r="B1218" s="3"/>
      <c r="C1218" s="3"/>
      <c r="D1218" s="3"/>
      <c r="E1218" s="3"/>
      <c r="F1218" s="3"/>
      <c r="G1218" s="3"/>
      <c r="H1218" s="3"/>
      <c r="I1218" s="5"/>
      <c r="J1218" s="3"/>
      <c r="K1218" s="3"/>
      <c r="L1218" s="3"/>
      <c r="M1218" s="3"/>
      <c r="N1218" s="16"/>
      <c r="O1218" s="3"/>
      <c r="P1218" s="3"/>
      <c r="Q1218" s="3"/>
      <c r="R1218" s="3"/>
      <c r="S1218" s="3"/>
      <c r="T1218" s="3"/>
      <c r="U1218" s="3"/>
      <c r="V1218" s="3"/>
    </row>
    <row r="1219" spans="1:22" ht="31.5" x14ac:dyDescent="0.5">
      <c r="A1219" s="3"/>
      <c r="B1219" s="3"/>
      <c r="C1219" s="3"/>
      <c r="D1219" s="3"/>
      <c r="E1219" s="3"/>
      <c r="F1219" s="3"/>
      <c r="G1219" s="3"/>
      <c r="H1219" s="3"/>
      <c r="I1219" s="5"/>
      <c r="J1219" s="3"/>
      <c r="K1219" s="3"/>
      <c r="L1219" s="3"/>
      <c r="M1219" s="3"/>
      <c r="N1219" s="16"/>
      <c r="O1219" s="3"/>
      <c r="P1219" s="3"/>
      <c r="Q1219" s="3"/>
      <c r="R1219" s="3"/>
      <c r="S1219" s="3"/>
      <c r="T1219" s="3"/>
      <c r="U1219" s="3"/>
      <c r="V1219" s="3"/>
    </row>
    <row r="1220" spans="1:22" ht="31.5" x14ac:dyDescent="0.5">
      <c r="A1220" s="3"/>
      <c r="B1220" s="3"/>
      <c r="C1220" s="3"/>
      <c r="D1220" s="3"/>
      <c r="E1220" s="3"/>
      <c r="F1220" s="3"/>
      <c r="G1220" s="3"/>
      <c r="H1220" s="3"/>
      <c r="I1220" s="5"/>
      <c r="J1220" s="3"/>
      <c r="K1220" s="3"/>
      <c r="L1220" s="3"/>
      <c r="M1220" s="3"/>
      <c r="N1220" s="16"/>
      <c r="O1220" s="3"/>
      <c r="P1220" s="3"/>
      <c r="Q1220" s="3"/>
      <c r="R1220" s="3"/>
      <c r="S1220" s="3"/>
      <c r="T1220" s="3"/>
      <c r="U1220" s="3"/>
      <c r="V1220" s="3"/>
    </row>
    <row r="1221" spans="1:22" ht="31.5" x14ac:dyDescent="0.5">
      <c r="A1221" s="3"/>
      <c r="B1221" s="3"/>
      <c r="C1221" s="3"/>
      <c r="D1221" s="3"/>
      <c r="E1221" s="3"/>
      <c r="F1221" s="3"/>
      <c r="G1221" s="3"/>
      <c r="H1221" s="3"/>
      <c r="I1221" s="5"/>
      <c r="J1221" s="3"/>
      <c r="K1221" s="3"/>
      <c r="L1221" s="3"/>
      <c r="M1221" s="3"/>
      <c r="N1221" s="16"/>
      <c r="O1221" s="3"/>
      <c r="P1221" s="3"/>
      <c r="Q1221" s="3"/>
      <c r="R1221" s="3"/>
      <c r="S1221" s="3"/>
      <c r="T1221" s="3"/>
      <c r="U1221" s="3"/>
      <c r="V1221" s="3"/>
    </row>
    <row r="1222" spans="1:22" ht="31.5" x14ac:dyDescent="0.5">
      <c r="A1222" s="3"/>
      <c r="B1222" s="3"/>
      <c r="C1222" s="3"/>
      <c r="D1222" s="3"/>
      <c r="E1222" s="3"/>
      <c r="F1222" s="3"/>
      <c r="G1222" s="3"/>
      <c r="H1222" s="3"/>
      <c r="I1222" s="5"/>
      <c r="J1222" s="3"/>
      <c r="K1222" s="3"/>
      <c r="L1222" s="3"/>
      <c r="M1222" s="3"/>
      <c r="N1222" s="16"/>
      <c r="O1222" s="3"/>
      <c r="P1222" s="3"/>
      <c r="Q1222" s="3"/>
      <c r="R1222" s="3"/>
      <c r="S1222" s="3"/>
      <c r="T1222" s="3"/>
      <c r="U1222" s="3"/>
      <c r="V1222" s="3"/>
    </row>
    <row r="1223" spans="1:22" ht="31.5" x14ac:dyDescent="0.5">
      <c r="A1223" s="3"/>
      <c r="B1223" s="3"/>
      <c r="C1223" s="3"/>
      <c r="D1223" s="3"/>
      <c r="E1223" s="3"/>
      <c r="F1223" s="3"/>
      <c r="G1223" s="3"/>
      <c r="H1223" s="3"/>
      <c r="I1223" s="5"/>
      <c r="J1223" s="3"/>
      <c r="K1223" s="3"/>
      <c r="L1223" s="3"/>
      <c r="M1223" s="3"/>
      <c r="N1223" s="16"/>
      <c r="O1223" s="3"/>
      <c r="P1223" s="3"/>
      <c r="Q1223" s="3"/>
      <c r="R1223" s="3"/>
      <c r="S1223" s="3"/>
      <c r="T1223" s="3"/>
      <c r="U1223" s="3"/>
      <c r="V1223" s="3"/>
    </row>
    <row r="1224" spans="1:22" ht="31.5" x14ac:dyDescent="0.5">
      <c r="A1224" s="3"/>
      <c r="B1224" s="3"/>
      <c r="C1224" s="3"/>
      <c r="D1224" s="3"/>
      <c r="E1224" s="3"/>
      <c r="F1224" s="3"/>
      <c r="G1224" s="3"/>
      <c r="H1224" s="3"/>
      <c r="I1224" s="5"/>
      <c r="J1224" s="3"/>
      <c r="K1224" s="3"/>
      <c r="L1224" s="3"/>
      <c r="M1224" s="3"/>
      <c r="N1224" s="16"/>
      <c r="O1224" s="3"/>
      <c r="P1224" s="3"/>
      <c r="Q1224" s="3"/>
      <c r="R1224" s="3"/>
      <c r="S1224" s="3"/>
      <c r="T1224" s="3"/>
      <c r="U1224" s="3"/>
      <c r="V1224" s="3"/>
    </row>
    <row r="1225" spans="1:22" ht="31.5" x14ac:dyDescent="0.5">
      <c r="A1225" s="3"/>
      <c r="B1225" s="3"/>
      <c r="C1225" s="3"/>
      <c r="D1225" s="3"/>
      <c r="E1225" s="3"/>
      <c r="F1225" s="3"/>
      <c r="G1225" s="3"/>
      <c r="H1225" s="3"/>
      <c r="I1225" s="5"/>
      <c r="J1225" s="3"/>
      <c r="K1225" s="3"/>
      <c r="L1225" s="3"/>
      <c r="M1225" s="3"/>
      <c r="N1225" s="16"/>
      <c r="O1225" s="3"/>
      <c r="P1225" s="3"/>
      <c r="Q1225" s="3"/>
      <c r="R1225" s="3"/>
      <c r="S1225" s="3"/>
      <c r="T1225" s="3"/>
      <c r="U1225" s="3"/>
      <c r="V1225" s="3"/>
    </row>
    <row r="1226" spans="1:22" ht="31.5" x14ac:dyDescent="0.5">
      <c r="A1226" s="3"/>
      <c r="B1226" s="3"/>
      <c r="C1226" s="3"/>
      <c r="D1226" s="3"/>
      <c r="E1226" s="3"/>
      <c r="F1226" s="3"/>
      <c r="G1226" s="3"/>
      <c r="H1226" s="3"/>
      <c r="I1226" s="5"/>
      <c r="J1226" s="3"/>
      <c r="K1226" s="3"/>
      <c r="L1226" s="3"/>
      <c r="M1226" s="3"/>
      <c r="N1226" s="16"/>
      <c r="O1226" s="3"/>
      <c r="P1226" s="3"/>
      <c r="Q1226" s="3"/>
      <c r="R1226" s="3"/>
      <c r="S1226" s="3"/>
      <c r="T1226" s="3"/>
      <c r="U1226" s="3"/>
      <c r="V1226" s="3"/>
    </row>
    <row r="1227" spans="1:22" ht="31.5" x14ac:dyDescent="0.5">
      <c r="A1227" s="3"/>
      <c r="B1227" s="3"/>
      <c r="C1227" s="3"/>
      <c r="D1227" s="3"/>
      <c r="E1227" s="3"/>
      <c r="F1227" s="3"/>
      <c r="G1227" s="3"/>
      <c r="H1227" s="3"/>
      <c r="I1227" s="5"/>
      <c r="J1227" s="3"/>
      <c r="K1227" s="3"/>
      <c r="L1227" s="3"/>
      <c r="M1227" s="3"/>
      <c r="N1227" s="16"/>
      <c r="O1227" s="3"/>
      <c r="P1227" s="3"/>
      <c r="Q1227" s="3"/>
      <c r="R1227" s="3"/>
      <c r="S1227" s="3"/>
      <c r="T1227" s="3"/>
      <c r="U1227" s="3"/>
      <c r="V1227" s="3"/>
    </row>
    <row r="1228" spans="1:22" ht="31.5" x14ac:dyDescent="0.5">
      <c r="A1228" s="3"/>
      <c r="B1228" s="3"/>
      <c r="C1228" s="3"/>
      <c r="D1228" s="3"/>
      <c r="E1228" s="3"/>
      <c r="F1228" s="3"/>
      <c r="G1228" s="3"/>
      <c r="H1228" s="3"/>
      <c r="I1228" s="5"/>
      <c r="J1228" s="3"/>
      <c r="K1228" s="3"/>
      <c r="L1228" s="3"/>
      <c r="M1228" s="3"/>
      <c r="N1228" s="16"/>
      <c r="O1228" s="3"/>
      <c r="P1228" s="3"/>
      <c r="Q1228" s="3"/>
      <c r="R1228" s="3"/>
      <c r="S1228" s="3"/>
      <c r="T1228" s="3"/>
      <c r="U1228" s="3"/>
      <c r="V1228" s="3"/>
    </row>
    <row r="1229" spans="1:22" ht="31.5" x14ac:dyDescent="0.5">
      <c r="A1229" s="3"/>
      <c r="B1229" s="3"/>
      <c r="C1229" s="3"/>
      <c r="D1229" s="3"/>
      <c r="E1229" s="3"/>
      <c r="F1229" s="3"/>
      <c r="G1229" s="3"/>
      <c r="H1229" s="3"/>
      <c r="I1229" s="5"/>
      <c r="J1229" s="3"/>
      <c r="K1229" s="3"/>
      <c r="L1229" s="3"/>
      <c r="M1229" s="3"/>
      <c r="N1229" s="16"/>
      <c r="O1229" s="3"/>
      <c r="P1229" s="3"/>
      <c r="Q1229" s="3"/>
      <c r="R1229" s="3"/>
      <c r="S1229" s="3"/>
      <c r="T1229" s="3"/>
      <c r="U1229" s="3"/>
      <c r="V1229" s="3"/>
    </row>
    <row r="1230" spans="1:22" ht="31.5" x14ac:dyDescent="0.5">
      <c r="A1230" s="3"/>
      <c r="B1230" s="3"/>
      <c r="C1230" s="3"/>
      <c r="D1230" s="3"/>
      <c r="E1230" s="3"/>
      <c r="F1230" s="3"/>
      <c r="G1230" s="3"/>
      <c r="H1230" s="3"/>
      <c r="I1230" s="5"/>
      <c r="J1230" s="3"/>
      <c r="K1230" s="3"/>
      <c r="L1230" s="3"/>
      <c r="M1230" s="3"/>
      <c r="N1230" s="16"/>
      <c r="O1230" s="3"/>
      <c r="P1230" s="3"/>
      <c r="Q1230" s="3"/>
      <c r="R1230" s="3"/>
      <c r="S1230" s="3"/>
      <c r="T1230" s="3"/>
      <c r="U1230" s="3"/>
      <c r="V1230" s="3"/>
    </row>
    <row r="1231" spans="1:22" ht="31.5" x14ac:dyDescent="0.5">
      <c r="A1231" s="3"/>
      <c r="B1231" s="3"/>
      <c r="C1231" s="3"/>
      <c r="D1231" s="3"/>
      <c r="E1231" s="3"/>
      <c r="F1231" s="3"/>
      <c r="G1231" s="3"/>
      <c r="H1231" s="3"/>
      <c r="I1231" s="5"/>
      <c r="J1231" s="3"/>
      <c r="K1231" s="3"/>
      <c r="L1231" s="3"/>
      <c r="M1231" s="3"/>
      <c r="N1231" s="16"/>
      <c r="O1231" s="3"/>
      <c r="P1231" s="3"/>
      <c r="Q1231" s="3"/>
      <c r="R1231" s="3"/>
      <c r="S1231" s="3"/>
      <c r="T1231" s="3"/>
      <c r="U1231" s="3"/>
      <c r="V1231" s="3"/>
    </row>
    <row r="1232" spans="1:22" ht="31.5" x14ac:dyDescent="0.5">
      <c r="A1232" s="3"/>
      <c r="B1232" s="3"/>
      <c r="C1232" s="3"/>
      <c r="D1232" s="3"/>
      <c r="E1232" s="3"/>
      <c r="F1232" s="3"/>
      <c r="G1232" s="3"/>
      <c r="H1232" s="3"/>
      <c r="I1232" s="5"/>
      <c r="J1232" s="3"/>
      <c r="K1232" s="3"/>
      <c r="L1232" s="3"/>
      <c r="M1232" s="3"/>
      <c r="N1232" s="16"/>
      <c r="O1232" s="3"/>
      <c r="P1232" s="3"/>
      <c r="Q1232" s="3"/>
      <c r="R1232" s="3"/>
      <c r="S1232" s="3"/>
      <c r="T1232" s="3"/>
      <c r="U1232" s="3"/>
      <c r="V1232" s="3"/>
    </row>
    <row r="1233" spans="1:22" ht="31.5" x14ac:dyDescent="0.5">
      <c r="A1233" s="3"/>
      <c r="B1233" s="3"/>
      <c r="C1233" s="3"/>
      <c r="D1233" s="3"/>
      <c r="E1233" s="3"/>
      <c r="F1233" s="3"/>
      <c r="G1233" s="3"/>
      <c r="H1233" s="3"/>
      <c r="I1233" s="5"/>
      <c r="J1233" s="3"/>
      <c r="K1233" s="3"/>
      <c r="L1233" s="3"/>
      <c r="M1233" s="3"/>
      <c r="N1233" s="16"/>
      <c r="O1233" s="3"/>
      <c r="P1233" s="3"/>
      <c r="Q1233" s="3"/>
      <c r="R1233" s="3"/>
      <c r="S1233" s="3"/>
      <c r="T1233" s="3"/>
      <c r="U1233" s="3"/>
      <c r="V1233" s="3"/>
    </row>
    <row r="1234" spans="1:22" ht="31.5" x14ac:dyDescent="0.5">
      <c r="A1234" s="3"/>
      <c r="B1234" s="3"/>
      <c r="C1234" s="3"/>
      <c r="D1234" s="3"/>
      <c r="E1234" s="3"/>
      <c r="F1234" s="3"/>
      <c r="G1234" s="3"/>
      <c r="H1234" s="3"/>
      <c r="I1234" s="5"/>
      <c r="J1234" s="3"/>
      <c r="K1234" s="3"/>
      <c r="L1234" s="3"/>
      <c r="M1234" s="3"/>
      <c r="N1234" s="16"/>
      <c r="O1234" s="3"/>
      <c r="P1234" s="3"/>
      <c r="Q1234" s="3"/>
      <c r="R1234" s="3"/>
      <c r="S1234" s="3"/>
      <c r="T1234" s="3"/>
      <c r="U1234" s="3"/>
      <c r="V1234" s="3"/>
    </row>
    <row r="1235" spans="1:22" ht="31.5" x14ac:dyDescent="0.5">
      <c r="A1235" s="3"/>
      <c r="B1235" s="3"/>
      <c r="C1235" s="3"/>
      <c r="D1235" s="3"/>
      <c r="E1235" s="3"/>
      <c r="F1235" s="3"/>
      <c r="G1235" s="3"/>
      <c r="H1235" s="3"/>
      <c r="I1235" s="5"/>
      <c r="J1235" s="3"/>
      <c r="K1235" s="3"/>
      <c r="L1235" s="3"/>
      <c r="M1235" s="3"/>
      <c r="N1235" s="16"/>
      <c r="O1235" s="3"/>
      <c r="P1235" s="3"/>
      <c r="Q1235" s="3"/>
      <c r="R1235" s="3"/>
      <c r="S1235" s="3"/>
      <c r="T1235" s="3"/>
      <c r="U1235" s="3"/>
      <c r="V1235" s="3"/>
    </row>
    <row r="1236" spans="1:22" ht="31.5" x14ac:dyDescent="0.5">
      <c r="A1236" s="3"/>
      <c r="B1236" s="3"/>
      <c r="C1236" s="3"/>
      <c r="D1236" s="3"/>
      <c r="E1236" s="3"/>
      <c r="F1236" s="3"/>
      <c r="G1236" s="3"/>
      <c r="H1236" s="3"/>
      <c r="I1236" s="5"/>
      <c r="J1236" s="3"/>
      <c r="K1236" s="3"/>
      <c r="L1236" s="3"/>
      <c r="M1236" s="3"/>
      <c r="N1236" s="16"/>
      <c r="O1236" s="3"/>
      <c r="P1236" s="3"/>
      <c r="Q1236" s="3"/>
      <c r="R1236" s="3"/>
      <c r="S1236" s="3"/>
      <c r="T1236" s="3"/>
      <c r="U1236" s="3"/>
      <c r="V1236" s="3"/>
    </row>
    <row r="1237" spans="1:22" ht="31.5" x14ac:dyDescent="0.5">
      <c r="A1237" s="3"/>
      <c r="B1237" s="3"/>
      <c r="C1237" s="3"/>
      <c r="D1237" s="3"/>
      <c r="E1237" s="3"/>
      <c r="F1237" s="3"/>
      <c r="G1237" s="3"/>
      <c r="H1237" s="3"/>
      <c r="I1237" s="5"/>
      <c r="J1237" s="3"/>
      <c r="K1237" s="3"/>
      <c r="L1237" s="3"/>
      <c r="M1237" s="3"/>
      <c r="N1237" s="16"/>
      <c r="O1237" s="3"/>
      <c r="P1237" s="3"/>
      <c r="Q1237" s="3"/>
      <c r="R1237" s="3"/>
      <c r="S1237" s="3"/>
      <c r="T1237" s="3"/>
      <c r="U1237" s="3"/>
      <c r="V1237" s="3"/>
    </row>
    <row r="1238" spans="1:22" ht="31.5" x14ac:dyDescent="0.5">
      <c r="A1238" s="3"/>
      <c r="B1238" s="3"/>
      <c r="C1238" s="3"/>
      <c r="D1238" s="3"/>
      <c r="E1238" s="3"/>
      <c r="F1238" s="3"/>
      <c r="G1238" s="3"/>
      <c r="H1238" s="3"/>
      <c r="I1238" s="5"/>
      <c r="J1238" s="3"/>
      <c r="K1238" s="3"/>
      <c r="L1238" s="3"/>
      <c r="M1238" s="3"/>
      <c r="N1238" s="16"/>
      <c r="O1238" s="3"/>
      <c r="P1238" s="3"/>
      <c r="Q1238" s="3"/>
      <c r="R1238" s="3"/>
      <c r="S1238" s="3"/>
      <c r="T1238" s="3"/>
      <c r="U1238" s="3"/>
      <c r="V1238" s="3"/>
    </row>
    <row r="1239" spans="1:22" ht="31.5" x14ac:dyDescent="0.5">
      <c r="A1239" s="3"/>
      <c r="B1239" s="3"/>
      <c r="C1239" s="3"/>
      <c r="D1239" s="3"/>
      <c r="E1239" s="3"/>
      <c r="F1239" s="3"/>
      <c r="G1239" s="3"/>
      <c r="H1239" s="3"/>
      <c r="I1239" s="5"/>
      <c r="J1239" s="3"/>
      <c r="K1239" s="3"/>
      <c r="L1239" s="3"/>
      <c r="M1239" s="3"/>
      <c r="N1239" s="16"/>
      <c r="O1239" s="3"/>
      <c r="P1239" s="3"/>
      <c r="Q1239" s="3"/>
      <c r="R1239" s="3"/>
      <c r="S1239" s="3"/>
      <c r="T1239" s="3"/>
      <c r="U1239" s="3"/>
      <c r="V1239" s="3"/>
    </row>
    <row r="1240" spans="1:22" ht="31.5" x14ac:dyDescent="0.5">
      <c r="A1240" s="3"/>
      <c r="B1240" s="3"/>
      <c r="C1240" s="3"/>
      <c r="D1240" s="3"/>
      <c r="E1240" s="3"/>
      <c r="F1240" s="3"/>
      <c r="G1240" s="3"/>
      <c r="H1240" s="3"/>
      <c r="I1240" s="5"/>
      <c r="J1240" s="3"/>
      <c r="K1240" s="3"/>
      <c r="L1240" s="3"/>
      <c r="M1240" s="3"/>
      <c r="N1240" s="16"/>
      <c r="O1240" s="3"/>
      <c r="P1240" s="3"/>
      <c r="Q1240" s="3"/>
      <c r="R1240" s="3"/>
      <c r="S1240" s="3"/>
      <c r="T1240" s="3"/>
      <c r="U1240" s="3"/>
      <c r="V1240" s="3"/>
    </row>
    <row r="1241" spans="1:22" ht="31.5" x14ac:dyDescent="0.5">
      <c r="A1241" s="3"/>
      <c r="B1241" s="3"/>
      <c r="C1241" s="3"/>
      <c r="D1241" s="3"/>
      <c r="E1241" s="3"/>
      <c r="F1241" s="3"/>
      <c r="G1241" s="3"/>
      <c r="H1241" s="3"/>
      <c r="I1241" s="5"/>
      <c r="J1241" s="3"/>
      <c r="K1241" s="3"/>
      <c r="L1241" s="3"/>
      <c r="M1241" s="3"/>
      <c r="N1241" s="16"/>
      <c r="O1241" s="3"/>
      <c r="P1241" s="3"/>
      <c r="Q1241" s="3"/>
      <c r="R1241" s="3"/>
      <c r="S1241" s="3"/>
      <c r="T1241" s="3"/>
      <c r="U1241" s="3"/>
      <c r="V1241" s="3"/>
    </row>
    <row r="1242" spans="1:22" ht="31.5" x14ac:dyDescent="0.5">
      <c r="A1242" s="3"/>
      <c r="B1242" s="3"/>
      <c r="C1242" s="3"/>
      <c r="D1242" s="3"/>
      <c r="E1242" s="3"/>
      <c r="F1242" s="3"/>
      <c r="G1242" s="3"/>
      <c r="H1242" s="3"/>
      <c r="I1242" s="5"/>
      <c r="J1242" s="3"/>
      <c r="K1242" s="3"/>
      <c r="L1242" s="3"/>
      <c r="M1242" s="3"/>
      <c r="N1242" s="16"/>
      <c r="O1242" s="3"/>
      <c r="P1242" s="3"/>
      <c r="Q1242" s="3"/>
      <c r="R1242" s="3"/>
      <c r="S1242" s="3"/>
      <c r="T1242" s="3"/>
      <c r="U1242" s="3"/>
      <c r="V1242" s="3"/>
    </row>
    <row r="1243" spans="1:22" ht="31.5" x14ac:dyDescent="0.5">
      <c r="A1243" s="3"/>
      <c r="B1243" s="3"/>
      <c r="C1243" s="3"/>
      <c r="D1243" s="3"/>
      <c r="E1243" s="3"/>
      <c r="F1243" s="3"/>
      <c r="G1243" s="3"/>
      <c r="H1243" s="3"/>
      <c r="I1243" s="5"/>
      <c r="J1243" s="3"/>
      <c r="K1243" s="3"/>
      <c r="L1243" s="3"/>
      <c r="M1243" s="3"/>
      <c r="N1243" s="16"/>
      <c r="O1243" s="3"/>
      <c r="P1243" s="3"/>
      <c r="Q1243" s="3"/>
      <c r="R1243" s="3"/>
      <c r="S1243" s="3"/>
      <c r="T1243" s="3"/>
      <c r="U1243" s="3"/>
      <c r="V1243" s="3"/>
    </row>
    <row r="1244" spans="1:22" ht="31.5" x14ac:dyDescent="0.5">
      <c r="A1244" s="3"/>
      <c r="B1244" s="3"/>
      <c r="C1244" s="3"/>
      <c r="D1244" s="3"/>
      <c r="E1244" s="3"/>
      <c r="F1244" s="3"/>
      <c r="G1244" s="3"/>
      <c r="H1244" s="3"/>
      <c r="I1244" s="5"/>
      <c r="J1244" s="3"/>
      <c r="K1244" s="3"/>
      <c r="L1244" s="3"/>
      <c r="M1244" s="3"/>
      <c r="N1244" s="16"/>
      <c r="O1244" s="3"/>
      <c r="P1244" s="3"/>
      <c r="Q1244" s="3"/>
      <c r="R1244" s="3"/>
      <c r="S1244" s="3"/>
      <c r="T1244" s="3"/>
      <c r="U1244" s="3"/>
      <c r="V1244" s="3"/>
    </row>
    <row r="1245" spans="1:22" ht="31.5" x14ac:dyDescent="0.5">
      <c r="A1245" s="3"/>
      <c r="B1245" s="3"/>
      <c r="C1245" s="3"/>
      <c r="D1245" s="3"/>
      <c r="E1245" s="3"/>
      <c r="F1245" s="3"/>
      <c r="G1245" s="3"/>
      <c r="H1245" s="3"/>
      <c r="I1245" s="5"/>
      <c r="J1245" s="3"/>
      <c r="K1245" s="3"/>
      <c r="L1245" s="3"/>
      <c r="M1245" s="3"/>
      <c r="N1245" s="16"/>
      <c r="O1245" s="3"/>
      <c r="P1245" s="3"/>
      <c r="Q1245" s="3"/>
      <c r="R1245" s="3"/>
      <c r="S1245" s="3"/>
      <c r="T1245" s="3"/>
      <c r="U1245" s="3"/>
      <c r="V1245" s="3"/>
    </row>
    <row r="1246" spans="1:22" ht="31.5" x14ac:dyDescent="0.5">
      <c r="A1246" s="3"/>
      <c r="B1246" s="3"/>
      <c r="C1246" s="3"/>
      <c r="D1246" s="3"/>
      <c r="E1246" s="3"/>
      <c r="F1246" s="3"/>
      <c r="G1246" s="3"/>
      <c r="H1246" s="3"/>
      <c r="I1246" s="5"/>
      <c r="J1246" s="3"/>
      <c r="K1246" s="3"/>
      <c r="L1246" s="3"/>
      <c r="M1246" s="3"/>
      <c r="N1246" s="16"/>
      <c r="O1246" s="3"/>
      <c r="P1246" s="3"/>
      <c r="Q1246" s="3"/>
      <c r="R1246" s="3"/>
      <c r="S1246" s="3"/>
      <c r="T1246" s="3"/>
      <c r="U1246" s="3"/>
      <c r="V1246" s="3"/>
    </row>
    <row r="1247" spans="1:22" ht="31.5" x14ac:dyDescent="0.5">
      <c r="A1247" s="3"/>
      <c r="B1247" s="3"/>
      <c r="C1247" s="3"/>
      <c r="D1247" s="3"/>
      <c r="E1247" s="3"/>
      <c r="F1247" s="3"/>
      <c r="G1247" s="3"/>
      <c r="H1247" s="3"/>
      <c r="I1247" s="5"/>
      <c r="J1247" s="3"/>
      <c r="K1247" s="3"/>
      <c r="L1247" s="3"/>
      <c r="M1247" s="3"/>
      <c r="N1247" s="16"/>
      <c r="O1247" s="3"/>
      <c r="P1247" s="3"/>
      <c r="Q1247" s="3"/>
      <c r="R1247" s="3"/>
      <c r="S1247" s="3"/>
      <c r="T1247" s="3"/>
      <c r="U1247" s="3"/>
      <c r="V1247" s="3"/>
    </row>
    <row r="1248" spans="1:22" ht="31.5" x14ac:dyDescent="0.5">
      <c r="A1248" s="3"/>
      <c r="B1248" s="3"/>
      <c r="C1248" s="3"/>
      <c r="D1248" s="3"/>
      <c r="E1248" s="3"/>
      <c r="F1248" s="3"/>
      <c r="G1248" s="3"/>
      <c r="H1248" s="3"/>
      <c r="I1248" s="5"/>
      <c r="J1248" s="3"/>
      <c r="K1248" s="3"/>
      <c r="L1248" s="3"/>
      <c r="M1248" s="3"/>
      <c r="N1248" s="16"/>
      <c r="O1248" s="3"/>
      <c r="P1248" s="3"/>
      <c r="Q1248" s="3"/>
      <c r="R1248" s="3"/>
      <c r="S1248" s="3"/>
      <c r="T1248" s="3"/>
      <c r="U1248" s="3"/>
      <c r="V1248" s="3"/>
    </row>
    <row r="1249" spans="1:22" ht="31.5" x14ac:dyDescent="0.5">
      <c r="A1249" s="3"/>
      <c r="B1249" s="3"/>
      <c r="C1249" s="3"/>
      <c r="D1249" s="3"/>
      <c r="E1249" s="3"/>
      <c r="F1249" s="3"/>
      <c r="G1249" s="3"/>
      <c r="H1249" s="3"/>
      <c r="I1249" s="5"/>
      <c r="J1249" s="3"/>
      <c r="K1249" s="3"/>
      <c r="L1249" s="3"/>
      <c r="M1249" s="3"/>
      <c r="N1249" s="16"/>
      <c r="O1249" s="3"/>
      <c r="P1249" s="3"/>
      <c r="Q1249" s="3"/>
      <c r="R1249" s="3"/>
      <c r="S1249" s="3"/>
      <c r="T1249" s="3"/>
      <c r="U1249" s="3"/>
      <c r="V1249" s="3"/>
    </row>
    <row r="1250" spans="1:22" ht="31.5" x14ac:dyDescent="0.5">
      <c r="A1250" s="3"/>
      <c r="B1250" s="3"/>
      <c r="C1250" s="3"/>
      <c r="D1250" s="3"/>
      <c r="E1250" s="3"/>
      <c r="F1250" s="3"/>
      <c r="G1250" s="3"/>
      <c r="H1250" s="3"/>
      <c r="I1250" s="5"/>
      <c r="J1250" s="3"/>
      <c r="K1250" s="3"/>
      <c r="L1250" s="3"/>
      <c r="M1250" s="3"/>
      <c r="N1250" s="16"/>
      <c r="O1250" s="3"/>
      <c r="P1250" s="3"/>
      <c r="Q1250" s="3"/>
      <c r="R1250" s="3"/>
      <c r="S1250" s="3"/>
      <c r="T1250" s="3"/>
      <c r="U1250" s="3"/>
      <c r="V1250" s="3"/>
    </row>
    <row r="1251" spans="1:22" ht="31.5" x14ac:dyDescent="0.5">
      <c r="A1251" s="3"/>
      <c r="B1251" s="3"/>
      <c r="C1251" s="3"/>
      <c r="D1251" s="3"/>
      <c r="E1251" s="3"/>
      <c r="F1251" s="3"/>
      <c r="G1251" s="3"/>
      <c r="H1251" s="3"/>
      <c r="I1251" s="5"/>
      <c r="J1251" s="3"/>
      <c r="K1251" s="3"/>
      <c r="L1251" s="3"/>
      <c r="M1251" s="3"/>
      <c r="N1251" s="16"/>
      <c r="O1251" s="3"/>
      <c r="P1251" s="3"/>
      <c r="Q1251" s="3"/>
      <c r="R1251" s="3"/>
      <c r="S1251" s="3"/>
      <c r="T1251" s="3"/>
      <c r="U1251" s="3"/>
      <c r="V1251" s="3"/>
    </row>
    <row r="1252" spans="1:22" ht="31.5" x14ac:dyDescent="0.5">
      <c r="A1252" s="3"/>
      <c r="B1252" s="3"/>
      <c r="C1252" s="3"/>
      <c r="D1252" s="3"/>
      <c r="E1252" s="3"/>
      <c r="F1252" s="3"/>
      <c r="G1252" s="3"/>
      <c r="H1252" s="3"/>
      <c r="I1252" s="5"/>
      <c r="J1252" s="3"/>
      <c r="K1252" s="3"/>
      <c r="L1252" s="3"/>
      <c r="M1252" s="3"/>
      <c r="N1252" s="16"/>
      <c r="O1252" s="3"/>
      <c r="P1252" s="3"/>
      <c r="Q1252" s="3"/>
      <c r="R1252" s="3"/>
      <c r="S1252" s="3"/>
      <c r="T1252" s="3"/>
      <c r="U1252" s="3"/>
      <c r="V1252" s="3"/>
    </row>
    <row r="1253" spans="1:22" ht="31.5" x14ac:dyDescent="0.5">
      <c r="A1253" s="3"/>
      <c r="B1253" s="3"/>
      <c r="C1253" s="3"/>
      <c r="D1253" s="3"/>
      <c r="E1253" s="3"/>
      <c r="F1253" s="3"/>
      <c r="G1253" s="3"/>
      <c r="H1253" s="3"/>
      <c r="I1253" s="5"/>
      <c r="J1253" s="3"/>
      <c r="K1253" s="3"/>
      <c r="L1253" s="3"/>
      <c r="M1253" s="3"/>
      <c r="N1253" s="16"/>
      <c r="O1253" s="3"/>
      <c r="P1253" s="3"/>
      <c r="Q1253" s="3"/>
      <c r="R1253" s="3"/>
      <c r="S1253" s="3"/>
      <c r="T1253" s="3"/>
      <c r="U1253" s="3"/>
      <c r="V1253" s="3"/>
    </row>
    <row r="1254" spans="1:22" ht="31.5" x14ac:dyDescent="0.5">
      <c r="A1254" s="3"/>
      <c r="B1254" s="3"/>
      <c r="C1254" s="3"/>
      <c r="D1254" s="3"/>
      <c r="E1254" s="3"/>
      <c r="F1254" s="3"/>
      <c r="G1254" s="3"/>
      <c r="H1254" s="3"/>
      <c r="I1254" s="5"/>
      <c r="J1254" s="3"/>
      <c r="K1254" s="3"/>
      <c r="L1254" s="3"/>
      <c r="M1254" s="3"/>
      <c r="N1254" s="16"/>
      <c r="O1254" s="3"/>
      <c r="P1254" s="3"/>
      <c r="Q1254" s="3"/>
      <c r="R1254" s="3"/>
      <c r="S1254" s="3"/>
      <c r="T1254" s="3"/>
      <c r="U1254" s="3"/>
      <c r="V1254" s="3"/>
    </row>
    <row r="1255" spans="1:22" ht="31.5" x14ac:dyDescent="0.5">
      <c r="A1255" s="3"/>
      <c r="B1255" s="3"/>
      <c r="C1255" s="3"/>
      <c r="D1255" s="3"/>
      <c r="E1255" s="3"/>
      <c r="F1255" s="3"/>
      <c r="G1255" s="3"/>
      <c r="H1255" s="3"/>
      <c r="I1255" s="5"/>
      <c r="J1255" s="3"/>
      <c r="K1255" s="3"/>
      <c r="L1255" s="3"/>
      <c r="M1255" s="3"/>
      <c r="N1255" s="16"/>
      <c r="O1255" s="3"/>
      <c r="P1255" s="3"/>
      <c r="Q1255" s="3"/>
      <c r="R1255" s="3"/>
      <c r="S1255" s="3"/>
      <c r="T1255" s="3"/>
      <c r="U1255" s="3"/>
      <c r="V1255" s="3"/>
    </row>
    <row r="1256" spans="1:22" ht="31.5" x14ac:dyDescent="0.5">
      <c r="A1256" s="3"/>
      <c r="B1256" s="3"/>
      <c r="C1256" s="3"/>
      <c r="D1256" s="3"/>
      <c r="E1256" s="3"/>
      <c r="F1256" s="3"/>
      <c r="G1256" s="3"/>
      <c r="H1256" s="3"/>
      <c r="I1256" s="5"/>
      <c r="J1256" s="3"/>
      <c r="K1256" s="3"/>
      <c r="L1256" s="3"/>
      <c r="M1256" s="3"/>
      <c r="N1256" s="16"/>
      <c r="O1256" s="3"/>
      <c r="P1256" s="3"/>
      <c r="Q1256" s="3"/>
      <c r="R1256" s="3"/>
      <c r="S1256" s="3"/>
      <c r="T1256" s="3"/>
      <c r="U1256" s="3"/>
      <c r="V1256" s="3"/>
    </row>
    <row r="1257" spans="1:22" ht="31.5" x14ac:dyDescent="0.5">
      <c r="A1257" s="3"/>
      <c r="B1257" s="3"/>
      <c r="C1257" s="3"/>
      <c r="D1257" s="3"/>
      <c r="E1257" s="3"/>
      <c r="F1257" s="3"/>
      <c r="G1257" s="3"/>
      <c r="H1257" s="3"/>
      <c r="I1257" s="5"/>
      <c r="J1257" s="3"/>
      <c r="K1257" s="3"/>
      <c r="L1257" s="3"/>
      <c r="M1257" s="3"/>
      <c r="N1257" s="16"/>
      <c r="O1257" s="3"/>
      <c r="P1257" s="3"/>
      <c r="Q1257" s="3"/>
      <c r="R1257" s="3"/>
      <c r="S1257" s="3"/>
      <c r="T1257" s="3"/>
      <c r="U1257" s="3"/>
      <c r="V1257" s="3"/>
    </row>
    <row r="1258" spans="1:22" ht="31.5" x14ac:dyDescent="0.5">
      <c r="A1258" s="3"/>
      <c r="B1258" s="3"/>
      <c r="C1258" s="3"/>
      <c r="D1258" s="3"/>
      <c r="E1258" s="3"/>
      <c r="F1258" s="3"/>
      <c r="G1258" s="3"/>
      <c r="H1258" s="3"/>
      <c r="I1258" s="5"/>
      <c r="J1258" s="3"/>
      <c r="K1258" s="3"/>
      <c r="L1258" s="3"/>
      <c r="M1258" s="3"/>
      <c r="N1258" s="16"/>
      <c r="O1258" s="3"/>
      <c r="P1258" s="3"/>
      <c r="Q1258" s="3"/>
      <c r="R1258" s="3"/>
      <c r="S1258" s="3"/>
      <c r="T1258" s="3"/>
      <c r="U1258" s="3"/>
      <c r="V1258" s="3"/>
    </row>
    <row r="1259" spans="1:22" ht="31.5" x14ac:dyDescent="0.5">
      <c r="A1259" s="3"/>
      <c r="B1259" s="3"/>
      <c r="C1259" s="3"/>
      <c r="D1259" s="3"/>
      <c r="E1259" s="3"/>
      <c r="F1259" s="3"/>
      <c r="G1259" s="3"/>
      <c r="H1259" s="3"/>
      <c r="I1259" s="5"/>
      <c r="J1259" s="3"/>
      <c r="K1259" s="3"/>
      <c r="L1259" s="3"/>
      <c r="M1259" s="3"/>
      <c r="N1259" s="16"/>
      <c r="O1259" s="3"/>
      <c r="P1259" s="3"/>
      <c r="Q1259" s="3"/>
      <c r="R1259" s="3"/>
      <c r="S1259" s="3"/>
      <c r="T1259" s="3"/>
      <c r="U1259" s="3"/>
      <c r="V1259" s="3"/>
    </row>
    <row r="1260" spans="1:22" ht="31.5" x14ac:dyDescent="0.5">
      <c r="A1260" s="3"/>
      <c r="B1260" s="3"/>
      <c r="C1260" s="3"/>
      <c r="D1260" s="3"/>
      <c r="E1260" s="3"/>
      <c r="F1260" s="3"/>
      <c r="G1260" s="3"/>
      <c r="H1260" s="3"/>
      <c r="I1260" s="5"/>
      <c r="J1260" s="3"/>
      <c r="K1260" s="3"/>
      <c r="L1260" s="3"/>
      <c r="M1260" s="3"/>
      <c r="N1260" s="16"/>
      <c r="O1260" s="3"/>
      <c r="P1260" s="3"/>
      <c r="Q1260" s="3"/>
      <c r="R1260" s="3"/>
      <c r="S1260" s="3"/>
      <c r="T1260" s="3"/>
      <c r="U1260" s="3"/>
      <c r="V1260" s="3"/>
    </row>
    <row r="1261" spans="1:22" ht="31.5" x14ac:dyDescent="0.5">
      <c r="A1261" s="3"/>
      <c r="B1261" s="3"/>
      <c r="C1261" s="3"/>
      <c r="D1261" s="3"/>
      <c r="E1261" s="3"/>
      <c r="F1261" s="3"/>
      <c r="G1261" s="3"/>
      <c r="H1261" s="3"/>
      <c r="I1261" s="5"/>
      <c r="J1261" s="3"/>
      <c r="K1261" s="3"/>
      <c r="L1261" s="3"/>
      <c r="M1261" s="3"/>
      <c r="N1261" s="16"/>
      <c r="O1261" s="3"/>
      <c r="P1261" s="3"/>
      <c r="Q1261" s="3"/>
      <c r="R1261" s="3"/>
      <c r="S1261" s="3"/>
      <c r="T1261" s="3"/>
      <c r="U1261" s="3"/>
      <c r="V1261" s="3"/>
    </row>
    <row r="1262" spans="1:22" ht="31.5" x14ac:dyDescent="0.5">
      <c r="A1262" s="3"/>
      <c r="B1262" s="3"/>
      <c r="C1262" s="3"/>
      <c r="D1262" s="3"/>
      <c r="E1262" s="3"/>
      <c r="F1262" s="3"/>
      <c r="G1262" s="3"/>
      <c r="H1262" s="3"/>
      <c r="I1262" s="5"/>
      <c r="J1262" s="3"/>
      <c r="K1262" s="3"/>
      <c r="L1262" s="3"/>
      <c r="M1262" s="3"/>
      <c r="N1262" s="16"/>
      <c r="O1262" s="3"/>
      <c r="P1262" s="3"/>
      <c r="Q1262" s="3"/>
      <c r="R1262" s="3"/>
      <c r="S1262" s="3"/>
      <c r="T1262" s="3"/>
      <c r="U1262" s="3"/>
      <c r="V1262" s="3"/>
    </row>
    <row r="1263" spans="1:22" ht="31.5" x14ac:dyDescent="0.5">
      <c r="A1263" s="3"/>
      <c r="B1263" s="3"/>
      <c r="C1263" s="3"/>
      <c r="D1263" s="3"/>
      <c r="E1263" s="3"/>
      <c r="F1263" s="3"/>
      <c r="G1263" s="3"/>
      <c r="H1263" s="3"/>
      <c r="I1263" s="5"/>
      <c r="J1263" s="3"/>
      <c r="K1263" s="3"/>
      <c r="L1263" s="3"/>
      <c r="M1263" s="3"/>
      <c r="N1263" s="16"/>
      <c r="O1263" s="3"/>
      <c r="P1263" s="3"/>
      <c r="Q1263" s="3"/>
      <c r="R1263" s="3"/>
      <c r="S1263" s="3"/>
      <c r="T1263" s="3"/>
      <c r="U1263" s="3"/>
      <c r="V1263" s="3"/>
    </row>
    <row r="1264" spans="1:22" ht="31.5" x14ac:dyDescent="0.5">
      <c r="A1264" s="3"/>
      <c r="B1264" s="3"/>
      <c r="C1264" s="3"/>
      <c r="D1264" s="3"/>
      <c r="E1264" s="3"/>
      <c r="F1264" s="3"/>
      <c r="G1264" s="3"/>
      <c r="H1264" s="3"/>
      <c r="I1264" s="5"/>
      <c r="J1264" s="3"/>
      <c r="K1264" s="3"/>
      <c r="L1264" s="3"/>
      <c r="M1264" s="3"/>
      <c r="N1264" s="16"/>
      <c r="O1264" s="3"/>
      <c r="P1264" s="3"/>
      <c r="Q1264" s="3"/>
      <c r="R1264" s="3"/>
      <c r="S1264" s="3"/>
      <c r="T1264" s="3"/>
      <c r="U1264" s="3"/>
      <c r="V1264" s="3"/>
    </row>
    <row r="1265" spans="1:22" ht="31.5" x14ac:dyDescent="0.5">
      <c r="A1265" s="3"/>
      <c r="B1265" s="3"/>
      <c r="C1265" s="3"/>
      <c r="D1265" s="3"/>
      <c r="E1265" s="3"/>
      <c r="F1265" s="3"/>
      <c r="G1265" s="3"/>
      <c r="H1265" s="3"/>
      <c r="I1265" s="5"/>
      <c r="J1265" s="3"/>
      <c r="K1265" s="3"/>
      <c r="L1265" s="3"/>
      <c r="M1265" s="3"/>
      <c r="N1265" s="16"/>
      <c r="O1265" s="3"/>
      <c r="P1265" s="3"/>
      <c r="Q1265" s="3"/>
      <c r="R1265" s="3"/>
      <c r="S1265" s="3"/>
      <c r="T1265" s="3"/>
      <c r="U1265" s="3"/>
      <c r="V1265" s="3"/>
    </row>
    <row r="1266" spans="1:22" ht="31.5" x14ac:dyDescent="0.5">
      <c r="A1266" s="3"/>
      <c r="B1266" s="3"/>
      <c r="C1266" s="3"/>
      <c r="D1266" s="3"/>
      <c r="E1266" s="3"/>
      <c r="F1266" s="3"/>
      <c r="G1266" s="3"/>
      <c r="H1266" s="3"/>
      <c r="I1266" s="5"/>
      <c r="J1266" s="3"/>
      <c r="K1266" s="3"/>
      <c r="L1266" s="3"/>
      <c r="M1266" s="3"/>
      <c r="N1266" s="16"/>
      <c r="O1266" s="3"/>
      <c r="P1266" s="3"/>
      <c r="Q1266" s="3"/>
      <c r="R1266" s="3"/>
      <c r="S1266" s="3"/>
      <c r="T1266" s="3"/>
      <c r="U1266" s="3"/>
      <c r="V1266" s="3"/>
    </row>
    <row r="1267" spans="1:22" ht="31.5" x14ac:dyDescent="0.5">
      <c r="A1267" s="3"/>
      <c r="B1267" s="3"/>
      <c r="C1267" s="3"/>
      <c r="D1267" s="3"/>
      <c r="E1267" s="3"/>
      <c r="F1267" s="3"/>
      <c r="G1267" s="3"/>
      <c r="H1267" s="3"/>
      <c r="I1267" s="5"/>
      <c r="J1267" s="3"/>
      <c r="K1267" s="3"/>
      <c r="L1267" s="3"/>
      <c r="M1267" s="3"/>
      <c r="N1267" s="16"/>
      <c r="O1267" s="3"/>
      <c r="P1267" s="3"/>
      <c r="Q1267" s="3"/>
      <c r="R1267" s="3"/>
      <c r="S1267" s="3"/>
      <c r="T1267" s="3"/>
      <c r="U1267" s="3"/>
      <c r="V1267" s="3"/>
    </row>
    <row r="1268" spans="1:22" ht="31.5" x14ac:dyDescent="0.5">
      <c r="A1268" s="3"/>
      <c r="B1268" s="3"/>
      <c r="C1268" s="3"/>
      <c r="D1268" s="3"/>
      <c r="E1268" s="3"/>
      <c r="F1268" s="3"/>
      <c r="G1268" s="3"/>
      <c r="H1268" s="3"/>
      <c r="I1268" s="5"/>
      <c r="J1268" s="3"/>
      <c r="K1268" s="3"/>
      <c r="L1268" s="3"/>
      <c r="M1268" s="3"/>
      <c r="N1268" s="16"/>
      <c r="O1268" s="3"/>
      <c r="P1268" s="3"/>
      <c r="Q1268" s="3"/>
      <c r="R1268" s="3"/>
      <c r="S1268" s="3"/>
      <c r="T1268" s="3"/>
      <c r="U1268" s="3"/>
      <c r="V1268" s="3"/>
    </row>
    <row r="1269" spans="1:22" ht="31.5" x14ac:dyDescent="0.5">
      <c r="A1269" s="3"/>
      <c r="B1269" s="3"/>
      <c r="C1269" s="3"/>
      <c r="D1269" s="3"/>
      <c r="E1269" s="3"/>
      <c r="F1269" s="3"/>
      <c r="G1269" s="3"/>
      <c r="H1269" s="3"/>
      <c r="I1269" s="5"/>
      <c r="J1269" s="3"/>
      <c r="K1269" s="3"/>
      <c r="L1269" s="3"/>
      <c r="M1269" s="3"/>
      <c r="N1269" s="16"/>
      <c r="O1269" s="3"/>
      <c r="P1269" s="3"/>
      <c r="Q1269" s="3"/>
      <c r="R1269" s="3"/>
      <c r="S1269" s="3"/>
      <c r="T1269" s="3"/>
      <c r="U1269" s="3"/>
      <c r="V1269" s="3"/>
    </row>
    <row r="1270" spans="1:22" ht="31.5" x14ac:dyDescent="0.5">
      <c r="A1270" s="3"/>
      <c r="B1270" s="3"/>
      <c r="C1270" s="3"/>
      <c r="D1270" s="3"/>
      <c r="E1270" s="3"/>
      <c r="F1270" s="3"/>
      <c r="G1270" s="3"/>
      <c r="H1270" s="3"/>
      <c r="I1270" s="5"/>
      <c r="J1270" s="3"/>
      <c r="K1270" s="3"/>
      <c r="L1270" s="3"/>
      <c r="M1270" s="3"/>
      <c r="N1270" s="16"/>
      <c r="O1270" s="3"/>
      <c r="P1270" s="3"/>
      <c r="Q1270" s="3"/>
      <c r="R1270" s="3"/>
      <c r="S1270" s="3"/>
      <c r="T1270" s="3"/>
      <c r="U1270" s="3"/>
      <c r="V1270" s="3"/>
    </row>
    <row r="1271" spans="1:22" ht="31.5" x14ac:dyDescent="0.5">
      <c r="A1271" s="3"/>
      <c r="B1271" s="3"/>
      <c r="C1271" s="3"/>
      <c r="D1271" s="3"/>
      <c r="E1271" s="3"/>
      <c r="F1271" s="3"/>
      <c r="G1271" s="3"/>
      <c r="H1271" s="3"/>
      <c r="I1271" s="5"/>
      <c r="J1271" s="3"/>
      <c r="K1271" s="3"/>
      <c r="L1271" s="3"/>
      <c r="M1271" s="3"/>
      <c r="N1271" s="16"/>
      <c r="O1271" s="3"/>
      <c r="P1271" s="3"/>
      <c r="Q1271" s="3"/>
      <c r="R1271" s="3"/>
      <c r="S1271" s="3"/>
      <c r="T1271" s="3"/>
      <c r="U1271" s="3"/>
      <c r="V1271" s="3"/>
    </row>
    <row r="1272" spans="1:22" ht="31.5" x14ac:dyDescent="0.5">
      <c r="A1272" s="3"/>
      <c r="B1272" s="3"/>
      <c r="C1272" s="3"/>
      <c r="D1272" s="3"/>
      <c r="E1272" s="3"/>
      <c r="F1272" s="3"/>
      <c r="G1272" s="3"/>
      <c r="H1272" s="3"/>
      <c r="I1272" s="5"/>
      <c r="J1272" s="3"/>
      <c r="K1272" s="3"/>
      <c r="L1272" s="3"/>
      <c r="M1272" s="3"/>
      <c r="N1272" s="16"/>
      <c r="O1272" s="3"/>
      <c r="P1272" s="3"/>
      <c r="Q1272" s="3"/>
      <c r="R1272" s="3"/>
      <c r="S1272" s="3"/>
      <c r="T1272" s="3"/>
      <c r="U1272" s="3"/>
      <c r="V1272" s="3"/>
    </row>
    <row r="1273" spans="1:22" ht="31.5" x14ac:dyDescent="0.5">
      <c r="A1273" s="3"/>
      <c r="B1273" s="3"/>
      <c r="C1273" s="3"/>
      <c r="D1273" s="3"/>
      <c r="E1273" s="3"/>
      <c r="F1273" s="3"/>
      <c r="G1273" s="3"/>
      <c r="H1273" s="3"/>
      <c r="I1273" s="5"/>
      <c r="J1273" s="3"/>
      <c r="K1273" s="3"/>
      <c r="L1273" s="3"/>
      <c r="M1273" s="3"/>
      <c r="N1273" s="16"/>
      <c r="O1273" s="3"/>
      <c r="P1273" s="3"/>
      <c r="Q1273" s="3"/>
      <c r="R1273" s="3"/>
      <c r="S1273" s="3"/>
      <c r="T1273" s="3"/>
      <c r="U1273" s="3"/>
      <c r="V1273" s="3"/>
    </row>
    <row r="1274" spans="1:22" ht="31.5" x14ac:dyDescent="0.5">
      <c r="A1274" s="3"/>
      <c r="B1274" s="3"/>
      <c r="C1274" s="3"/>
      <c r="D1274" s="3"/>
      <c r="E1274" s="3"/>
      <c r="F1274" s="3"/>
      <c r="G1274" s="3"/>
      <c r="H1274" s="3"/>
      <c r="I1274" s="5"/>
      <c r="J1274" s="3"/>
      <c r="K1274" s="3"/>
      <c r="L1274" s="3"/>
      <c r="M1274" s="3"/>
      <c r="N1274" s="16"/>
      <c r="O1274" s="3"/>
      <c r="P1274" s="3"/>
      <c r="Q1274" s="3"/>
      <c r="R1274" s="3"/>
      <c r="S1274" s="3"/>
      <c r="T1274" s="3"/>
      <c r="U1274" s="3"/>
      <c r="V1274" s="3"/>
    </row>
    <row r="1275" spans="1:22" ht="31.5" x14ac:dyDescent="0.5">
      <c r="A1275" s="3"/>
      <c r="B1275" s="3"/>
      <c r="C1275" s="3"/>
      <c r="D1275" s="3"/>
      <c r="E1275" s="3"/>
      <c r="F1275" s="3"/>
      <c r="G1275" s="3"/>
      <c r="H1275" s="3"/>
      <c r="I1275" s="5"/>
      <c r="J1275" s="3"/>
      <c r="K1275" s="3"/>
      <c r="L1275" s="3"/>
      <c r="M1275" s="3"/>
      <c r="N1275" s="16"/>
      <c r="O1275" s="3"/>
      <c r="P1275" s="3"/>
      <c r="Q1275" s="3"/>
      <c r="R1275" s="3"/>
      <c r="S1275" s="3"/>
      <c r="T1275" s="3"/>
      <c r="U1275" s="3"/>
      <c r="V1275" s="3"/>
    </row>
    <row r="1276" spans="1:22" ht="31.5" x14ac:dyDescent="0.5">
      <c r="A1276" s="3"/>
      <c r="B1276" s="3"/>
      <c r="C1276" s="3"/>
      <c r="D1276" s="3"/>
      <c r="E1276" s="3"/>
      <c r="F1276" s="3"/>
      <c r="G1276" s="3"/>
      <c r="H1276" s="3"/>
      <c r="I1276" s="5"/>
      <c r="J1276" s="3"/>
      <c r="K1276" s="3"/>
      <c r="L1276" s="3"/>
      <c r="M1276" s="3"/>
      <c r="N1276" s="16"/>
      <c r="O1276" s="3"/>
      <c r="P1276" s="3"/>
      <c r="Q1276" s="3"/>
      <c r="R1276" s="3"/>
      <c r="S1276" s="3"/>
      <c r="T1276" s="3"/>
      <c r="U1276" s="3"/>
      <c r="V1276" s="3"/>
    </row>
    <row r="1277" spans="1:22" ht="31.5" x14ac:dyDescent="0.5">
      <c r="A1277" s="3"/>
      <c r="B1277" s="3"/>
      <c r="C1277" s="3"/>
      <c r="D1277" s="3"/>
      <c r="E1277" s="3"/>
      <c r="F1277" s="3"/>
      <c r="G1277" s="3"/>
      <c r="H1277" s="3"/>
      <c r="I1277" s="5"/>
      <c r="J1277" s="3"/>
      <c r="K1277" s="3"/>
      <c r="L1277" s="3"/>
      <c r="M1277" s="3"/>
      <c r="N1277" s="16"/>
      <c r="O1277" s="3"/>
      <c r="P1277" s="3"/>
      <c r="Q1277" s="3"/>
      <c r="R1277" s="3"/>
      <c r="S1277" s="3"/>
      <c r="T1277" s="3"/>
      <c r="U1277" s="3"/>
      <c r="V1277" s="3"/>
    </row>
    <row r="1278" spans="1:22" ht="31.5" x14ac:dyDescent="0.5">
      <c r="A1278" s="3"/>
      <c r="B1278" s="3"/>
      <c r="C1278" s="3"/>
      <c r="D1278" s="3"/>
      <c r="E1278" s="3"/>
      <c r="F1278" s="3"/>
      <c r="G1278" s="3"/>
      <c r="H1278" s="3"/>
      <c r="I1278" s="5"/>
      <c r="J1278" s="3"/>
      <c r="K1278" s="3"/>
      <c r="L1278" s="3"/>
      <c r="M1278" s="3"/>
      <c r="N1278" s="16"/>
      <c r="O1278" s="3"/>
      <c r="P1278" s="3"/>
      <c r="Q1278" s="3"/>
      <c r="R1278" s="3"/>
      <c r="S1278" s="3"/>
      <c r="T1278" s="3"/>
      <c r="U1278" s="3"/>
      <c r="V1278" s="3"/>
    </row>
    <row r="1279" spans="1:22" ht="31.5" x14ac:dyDescent="0.5">
      <c r="A1279" s="3"/>
      <c r="B1279" s="3"/>
      <c r="C1279" s="3"/>
      <c r="D1279" s="3"/>
      <c r="E1279" s="3"/>
      <c r="F1279" s="3"/>
      <c r="G1279" s="3"/>
      <c r="H1279" s="3"/>
      <c r="I1279" s="5"/>
      <c r="J1279" s="3"/>
      <c r="K1279" s="3"/>
      <c r="L1279" s="3"/>
      <c r="M1279" s="3"/>
      <c r="N1279" s="16"/>
      <c r="O1279" s="3"/>
      <c r="P1279" s="3"/>
      <c r="Q1279" s="3"/>
      <c r="R1279" s="3"/>
      <c r="S1279" s="3"/>
      <c r="T1279" s="3"/>
      <c r="U1279" s="3"/>
      <c r="V1279" s="3"/>
    </row>
    <row r="1280" spans="1:22" ht="31.5" x14ac:dyDescent="0.5">
      <c r="A1280" s="3"/>
      <c r="B1280" s="3"/>
      <c r="C1280" s="3"/>
      <c r="D1280" s="3"/>
      <c r="E1280" s="3"/>
      <c r="F1280" s="3"/>
      <c r="G1280" s="3"/>
      <c r="H1280" s="3"/>
      <c r="I1280" s="5"/>
      <c r="J1280" s="3"/>
      <c r="K1280" s="3"/>
      <c r="L1280" s="3"/>
      <c r="M1280" s="3"/>
      <c r="N1280" s="16"/>
      <c r="O1280" s="3"/>
      <c r="P1280" s="3"/>
      <c r="Q1280" s="3"/>
      <c r="R1280" s="3"/>
      <c r="S1280" s="3"/>
      <c r="T1280" s="3"/>
      <c r="U1280" s="3"/>
      <c r="V1280" s="3"/>
    </row>
    <row r="1281" spans="1:22" ht="31.5" x14ac:dyDescent="0.5">
      <c r="A1281" s="3"/>
      <c r="B1281" s="3"/>
      <c r="C1281" s="3"/>
      <c r="D1281" s="3"/>
      <c r="E1281" s="3"/>
      <c r="F1281" s="3"/>
      <c r="G1281" s="3"/>
      <c r="H1281" s="3"/>
      <c r="I1281" s="5"/>
      <c r="J1281" s="3"/>
      <c r="K1281" s="3"/>
      <c r="L1281" s="3"/>
      <c r="M1281" s="3"/>
      <c r="N1281" s="16"/>
      <c r="O1281" s="3"/>
      <c r="P1281" s="3"/>
      <c r="Q1281" s="3"/>
      <c r="R1281" s="3"/>
      <c r="S1281" s="3"/>
      <c r="T1281" s="3"/>
      <c r="U1281" s="3"/>
      <c r="V1281" s="3"/>
    </row>
    <row r="1282" spans="1:22" ht="31.5" x14ac:dyDescent="0.5">
      <c r="A1282" s="3"/>
      <c r="B1282" s="3"/>
      <c r="C1282" s="3"/>
      <c r="D1282" s="3"/>
      <c r="E1282" s="3"/>
      <c r="F1282" s="3"/>
      <c r="G1282" s="3"/>
      <c r="H1282" s="3"/>
      <c r="I1282" s="5"/>
      <c r="J1282" s="3"/>
      <c r="K1282" s="3"/>
      <c r="L1282" s="3"/>
      <c r="M1282" s="3"/>
      <c r="N1282" s="16"/>
      <c r="O1282" s="3"/>
      <c r="P1282" s="3"/>
      <c r="Q1282" s="3"/>
      <c r="R1282" s="3"/>
      <c r="S1282" s="3"/>
      <c r="T1282" s="3"/>
      <c r="U1282" s="3"/>
      <c r="V1282" s="3"/>
    </row>
    <row r="1283" spans="1:22" ht="31.5" x14ac:dyDescent="0.5">
      <c r="A1283" s="3"/>
      <c r="B1283" s="3"/>
      <c r="C1283" s="3"/>
      <c r="D1283" s="3"/>
      <c r="E1283" s="3"/>
      <c r="F1283" s="3"/>
      <c r="G1283" s="3"/>
      <c r="H1283" s="3"/>
      <c r="I1283" s="5"/>
      <c r="J1283" s="3"/>
      <c r="K1283" s="3"/>
      <c r="L1283" s="3"/>
      <c r="M1283" s="3"/>
      <c r="N1283" s="16"/>
      <c r="O1283" s="3"/>
      <c r="P1283" s="3"/>
      <c r="Q1283" s="3"/>
      <c r="R1283" s="3"/>
      <c r="S1283" s="3"/>
      <c r="T1283" s="3"/>
      <c r="U1283" s="3"/>
      <c r="V1283" s="3"/>
    </row>
    <row r="1284" spans="1:22" ht="31.5" x14ac:dyDescent="0.5">
      <c r="A1284" s="3"/>
      <c r="B1284" s="3"/>
      <c r="C1284" s="3"/>
      <c r="D1284" s="3"/>
      <c r="E1284" s="3"/>
      <c r="F1284" s="3"/>
      <c r="G1284" s="3"/>
      <c r="H1284" s="3"/>
      <c r="I1284" s="5"/>
      <c r="J1284" s="3"/>
      <c r="K1284" s="3"/>
      <c r="L1284" s="3"/>
      <c r="M1284" s="3"/>
      <c r="N1284" s="16"/>
      <c r="O1284" s="3"/>
      <c r="P1284" s="3"/>
      <c r="Q1284" s="3"/>
      <c r="R1284" s="3"/>
      <c r="S1284" s="3"/>
      <c r="T1284" s="3"/>
      <c r="U1284" s="3"/>
      <c r="V1284" s="3"/>
    </row>
    <row r="1285" spans="1:22" ht="31.5" x14ac:dyDescent="0.5">
      <c r="A1285" s="3"/>
      <c r="B1285" s="3"/>
      <c r="C1285" s="3"/>
      <c r="D1285" s="3"/>
      <c r="E1285" s="3"/>
      <c r="F1285" s="3"/>
      <c r="G1285" s="3"/>
      <c r="H1285" s="3"/>
      <c r="I1285" s="5"/>
      <c r="J1285" s="3"/>
      <c r="K1285" s="3"/>
      <c r="L1285" s="3"/>
      <c r="M1285" s="3"/>
      <c r="N1285" s="16"/>
      <c r="O1285" s="3"/>
      <c r="P1285" s="3"/>
      <c r="Q1285" s="3"/>
      <c r="R1285" s="3"/>
      <c r="S1285" s="3"/>
      <c r="T1285" s="3"/>
      <c r="U1285" s="3"/>
      <c r="V1285" s="3"/>
    </row>
    <row r="1286" spans="1:22" ht="31.5" x14ac:dyDescent="0.5">
      <c r="A1286" s="3"/>
      <c r="B1286" s="3"/>
      <c r="C1286" s="3"/>
      <c r="D1286" s="3"/>
      <c r="E1286" s="3"/>
      <c r="F1286" s="3"/>
      <c r="G1286" s="3"/>
      <c r="H1286" s="3"/>
      <c r="I1286" s="5"/>
      <c r="J1286" s="3"/>
      <c r="K1286" s="3"/>
      <c r="L1286" s="3"/>
      <c r="M1286" s="3"/>
      <c r="N1286" s="16"/>
      <c r="O1286" s="3"/>
      <c r="P1286" s="3"/>
      <c r="Q1286" s="3"/>
      <c r="R1286" s="3"/>
      <c r="S1286" s="3"/>
      <c r="T1286" s="3"/>
      <c r="U1286" s="3"/>
      <c r="V1286" s="3"/>
    </row>
    <row r="1287" spans="1:22" ht="31.5" x14ac:dyDescent="0.5">
      <c r="A1287" s="3"/>
      <c r="B1287" s="3"/>
      <c r="C1287" s="3"/>
      <c r="D1287" s="3"/>
      <c r="E1287" s="3"/>
      <c r="F1287" s="3"/>
      <c r="G1287" s="3"/>
      <c r="H1287" s="3"/>
      <c r="I1287" s="5"/>
      <c r="J1287" s="3"/>
      <c r="K1287" s="3"/>
      <c r="L1287" s="3"/>
      <c r="M1287" s="3"/>
      <c r="N1287" s="16"/>
      <c r="O1287" s="3"/>
      <c r="P1287" s="3"/>
      <c r="Q1287" s="3"/>
      <c r="R1287" s="3"/>
      <c r="S1287" s="3"/>
      <c r="T1287" s="3"/>
      <c r="U1287" s="3"/>
      <c r="V1287" s="3"/>
    </row>
    <row r="1288" spans="1:22" ht="31.5" x14ac:dyDescent="0.5">
      <c r="A1288" s="3"/>
      <c r="B1288" s="3"/>
      <c r="C1288" s="3"/>
      <c r="D1288" s="3"/>
      <c r="E1288" s="3"/>
      <c r="F1288" s="3"/>
      <c r="G1288" s="3"/>
      <c r="H1288" s="3"/>
      <c r="I1288" s="5"/>
      <c r="J1288" s="3"/>
      <c r="K1288" s="3"/>
      <c r="L1288" s="3"/>
      <c r="M1288" s="3"/>
      <c r="N1288" s="16"/>
      <c r="O1288" s="3"/>
      <c r="P1288" s="3"/>
      <c r="Q1288" s="3"/>
      <c r="R1288" s="3"/>
      <c r="S1288" s="3"/>
      <c r="T1288" s="3"/>
      <c r="U1288" s="3"/>
      <c r="V1288" s="3"/>
    </row>
    <row r="1289" spans="1:22" ht="31.5" x14ac:dyDescent="0.5">
      <c r="A1289" s="3"/>
      <c r="B1289" s="3"/>
      <c r="C1289" s="3"/>
      <c r="D1289" s="3"/>
      <c r="E1289" s="3"/>
      <c r="F1289" s="3"/>
      <c r="G1289" s="3"/>
      <c r="H1289" s="3"/>
      <c r="I1289" s="5"/>
      <c r="J1289" s="3"/>
      <c r="K1289" s="3"/>
      <c r="L1289" s="3"/>
      <c r="M1289" s="3"/>
      <c r="N1289" s="16"/>
      <c r="O1289" s="3"/>
      <c r="P1289" s="3"/>
      <c r="Q1289" s="3"/>
      <c r="R1289" s="3"/>
      <c r="S1289" s="3"/>
      <c r="T1289" s="3"/>
      <c r="U1289" s="3"/>
      <c r="V1289" s="3"/>
    </row>
    <row r="1290" spans="1:22" ht="31.5" x14ac:dyDescent="0.5">
      <c r="A1290" s="3"/>
      <c r="B1290" s="3"/>
      <c r="C1290" s="3"/>
      <c r="D1290" s="3"/>
      <c r="E1290" s="3"/>
      <c r="F1290" s="3"/>
      <c r="G1290" s="3"/>
      <c r="H1290" s="3"/>
      <c r="I1290" s="5"/>
      <c r="J1290" s="3"/>
      <c r="K1290" s="3"/>
      <c r="L1290" s="3"/>
      <c r="M1290" s="3"/>
      <c r="N1290" s="16"/>
      <c r="O1290" s="3"/>
      <c r="P1290" s="3"/>
      <c r="Q1290" s="3"/>
      <c r="R1290" s="3"/>
      <c r="S1290" s="3"/>
      <c r="T1290" s="3"/>
      <c r="U1290" s="3"/>
      <c r="V1290" s="3"/>
    </row>
    <row r="1291" spans="1:22" ht="31.5" x14ac:dyDescent="0.5">
      <c r="A1291" s="3"/>
      <c r="B1291" s="3"/>
      <c r="C1291" s="3"/>
      <c r="D1291" s="3"/>
      <c r="E1291" s="3"/>
      <c r="F1291" s="3"/>
      <c r="G1291" s="3"/>
      <c r="H1291" s="3"/>
      <c r="I1291" s="5"/>
      <c r="J1291" s="3"/>
      <c r="K1291" s="3"/>
      <c r="L1291" s="3"/>
      <c r="M1291" s="3"/>
      <c r="N1291" s="16"/>
      <c r="O1291" s="3"/>
      <c r="P1291" s="3"/>
      <c r="Q1291" s="3"/>
      <c r="R1291" s="3"/>
      <c r="S1291" s="3"/>
      <c r="T1291" s="3"/>
      <c r="U1291" s="3"/>
      <c r="V1291" s="3"/>
    </row>
    <row r="1292" spans="1:22" ht="31.5" x14ac:dyDescent="0.5">
      <c r="A1292" s="3"/>
      <c r="B1292" s="3"/>
      <c r="C1292" s="3"/>
      <c r="D1292" s="3"/>
      <c r="E1292" s="3"/>
      <c r="F1292" s="3"/>
      <c r="G1292" s="3"/>
      <c r="H1292" s="3"/>
      <c r="I1292" s="5"/>
      <c r="J1292" s="3"/>
      <c r="K1292" s="3"/>
      <c r="L1292" s="3"/>
      <c r="M1292" s="3"/>
      <c r="N1292" s="16"/>
      <c r="O1292" s="3"/>
      <c r="P1292" s="3"/>
      <c r="Q1292" s="3"/>
      <c r="R1292" s="3"/>
      <c r="S1292" s="3"/>
      <c r="T1292" s="3"/>
      <c r="U1292" s="3"/>
      <c r="V1292" s="3"/>
    </row>
    <row r="1293" spans="1:22" ht="31.5" x14ac:dyDescent="0.5">
      <c r="A1293" s="3"/>
      <c r="B1293" s="3"/>
      <c r="C1293" s="3"/>
      <c r="D1293" s="3"/>
      <c r="E1293" s="3"/>
      <c r="F1293" s="3"/>
      <c r="G1293" s="3"/>
      <c r="H1293" s="3"/>
      <c r="I1293" s="5"/>
      <c r="J1293" s="3"/>
      <c r="K1293" s="3"/>
      <c r="L1293" s="3"/>
      <c r="M1293" s="3"/>
      <c r="N1293" s="16"/>
      <c r="O1293" s="3"/>
      <c r="P1293" s="3"/>
      <c r="Q1293" s="3"/>
      <c r="R1293" s="3"/>
      <c r="S1293" s="3"/>
      <c r="T1293" s="3"/>
      <c r="U1293" s="3"/>
      <c r="V1293" s="3"/>
    </row>
    <row r="1294" spans="1:22" ht="31.5" x14ac:dyDescent="0.5">
      <c r="A1294" s="3"/>
      <c r="B1294" s="3"/>
      <c r="C1294" s="3"/>
      <c r="D1294" s="3"/>
      <c r="E1294" s="3"/>
      <c r="F1294" s="3"/>
      <c r="G1294" s="3"/>
      <c r="H1294" s="3"/>
      <c r="I1294" s="5"/>
      <c r="J1294" s="3"/>
      <c r="K1294" s="3"/>
      <c r="L1294" s="3"/>
      <c r="M1294" s="3"/>
      <c r="N1294" s="16"/>
      <c r="O1294" s="3"/>
      <c r="P1294" s="3"/>
      <c r="Q1294" s="3"/>
      <c r="R1294" s="3"/>
      <c r="S1294" s="3"/>
      <c r="T1294" s="3"/>
      <c r="U1294" s="3"/>
      <c r="V1294" s="3"/>
    </row>
    <row r="1295" spans="1:22" ht="31.5" x14ac:dyDescent="0.5">
      <c r="A1295" s="3"/>
      <c r="B1295" s="3"/>
      <c r="C1295" s="3"/>
      <c r="D1295" s="3"/>
      <c r="E1295" s="3"/>
      <c r="F1295" s="3"/>
      <c r="G1295" s="3"/>
      <c r="H1295" s="3"/>
      <c r="I1295" s="5"/>
      <c r="J1295" s="3"/>
      <c r="K1295" s="3"/>
      <c r="L1295" s="3"/>
      <c r="M1295" s="3"/>
      <c r="N1295" s="16"/>
      <c r="O1295" s="3"/>
      <c r="P1295" s="3"/>
      <c r="Q1295" s="3"/>
      <c r="R1295" s="3"/>
      <c r="S1295" s="3"/>
      <c r="T1295" s="3"/>
      <c r="U1295" s="3"/>
      <c r="V1295" s="3"/>
    </row>
    <row r="1296" spans="1:22" ht="31.5" x14ac:dyDescent="0.5">
      <c r="A1296" s="3"/>
      <c r="B1296" s="3"/>
      <c r="C1296" s="3"/>
      <c r="D1296" s="3"/>
      <c r="E1296" s="3"/>
      <c r="F1296" s="3"/>
      <c r="G1296" s="3"/>
      <c r="H1296" s="3"/>
      <c r="I1296" s="5"/>
      <c r="J1296" s="3"/>
      <c r="K1296" s="3"/>
      <c r="L1296" s="3"/>
      <c r="M1296" s="3"/>
      <c r="N1296" s="16"/>
      <c r="O1296" s="3"/>
      <c r="P1296" s="3"/>
      <c r="Q1296" s="3"/>
      <c r="R1296" s="3"/>
      <c r="S1296" s="3"/>
      <c r="T1296" s="3"/>
      <c r="U1296" s="3"/>
      <c r="V1296" s="3"/>
    </row>
    <row r="1297" spans="1:22" ht="31.5" x14ac:dyDescent="0.5">
      <c r="A1297" s="3"/>
      <c r="B1297" s="3"/>
      <c r="C1297" s="3"/>
      <c r="D1297" s="3"/>
      <c r="E1297" s="3"/>
      <c r="F1297" s="3"/>
      <c r="G1297" s="3"/>
      <c r="H1297" s="3"/>
      <c r="I1297" s="5"/>
      <c r="J1297" s="3"/>
      <c r="K1297" s="3"/>
      <c r="L1297" s="3"/>
      <c r="M1297" s="3"/>
      <c r="N1297" s="16"/>
      <c r="O1297" s="3"/>
      <c r="P1297" s="3"/>
      <c r="Q1297" s="3"/>
      <c r="R1297" s="3"/>
      <c r="S1297" s="3"/>
      <c r="T1297" s="3"/>
      <c r="U1297" s="3"/>
      <c r="V1297" s="3"/>
    </row>
    <row r="1298" spans="1:22" ht="31.5" x14ac:dyDescent="0.5">
      <c r="A1298" s="3"/>
      <c r="B1298" s="3"/>
      <c r="C1298" s="3"/>
      <c r="D1298" s="3"/>
      <c r="E1298" s="3"/>
      <c r="F1298" s="3"/>
      <c r="G1298" s="3"/>
      <c r="H1298" s="3"/>
      <c r="I1298" s="5"/>
      <c r="J1298" s="3"/>
      <c r="K1298" s="3"/>
      <c r="L1298" s="3"/>
      <c r="M1298" s="3"/>
      <c r="N1298" s="16"/>
      <c r="O1298" s="3"/>
      <c r="P1298" s="3"/>
      <c r="Q1298" s="3"/>
      <c r="R1298" s="3"/>
      <c r="S1298" s="3"/>
      <c r="T1298" s="3"/>
      <c r="U1298" s="3"/>
      <c r="V1298" s="3"/>
    </row>
    <row r="1299" spans="1:22" ht="31.5" x14ac:dyDescent="0.5">
      <c r="A1299" s="3"/>
      <c r="B1299" s="3"/>
      <c r="C1299" s="3"/>
      <c r="D1299" s="3"/>
      <c r="E1299" s="3"/>
      <c r="F1299" s="3"/>
      <c r="G1299" s="3"/>
      <c r="H1299" s="3"/>
      <c r="I1299" s="5"/>
      <c r="J1299" s="3"/>
      <c r="K1299" s="3"/>
      <c r="L1299" s="3"/>
      <c r="M1299" s="3"/>
      <c r="N1299" s="16"/>
      <c r="O1299" s="3"/>
      <c r="P1299" s="3"/>
      <c r="Q1299" s="3"/>
      <c r="R1299" s="3"/>
      <c r="S1299" s="3"/>
      <c r="T1299" s="3"/>
      <c r="U1299" s="3"/>
      <c r="V1299" s="3"/>
    </row>
    <row r="1300" spans="1:22" ht="31.5" x14ac:dyDescent="0.5">
      <c r="A1300" s="3"/>
      <c r="B1300" s="3"/>
      <c r="C1300" s="3"/>
      <c r="D1300" s="3"/>
      <c r="E1300" s="3"/>
      <c r="F1300" s="3"/>
      <c r="G1300" s="3"/>
      <c r="H1300" s="3"/>
      <c r="I1300" s="5"/>
      <c r="J1300" s="3"/>
      <c r="K1300" s="3"/>
      <c r="L1300" s="3"/>
      <c r="M1300" s="3"/>
      <c r="N1300" s="16"/>
      <c r="O1300" s="3"/>
      <c r="P1300" s="3"/>
      <c r="Q1300" s="3"/>
      <c r="R1300" s="3"/>
      <c r="S1300" s="3"/>
      <c r="T1300" s="3"/>
      <c r="U1300" s="3"/>
      <c r="V1300" s="3"/>
    </row>
    <row r="1301" spans="1:22" ht="31.5" x14ac:dyDescent="0.5">
      <c r="A1301" s="3"/>
      <c r="B1301" s="3"/>
      <c r="C1301" s="3"/>
      <c r="D1301" s="3"/>
      <c r="E1301" s="3"/>
      <c r="F1301" s="3"/>
      <c r="G1301" s="3"/>
      <c r="H1301" s="3"/>
      <c r="I1301" s="5"/>
      <c r="J1301" s="3"/>
      <c r="K1301" s="3"/>
      <c r="L1301" s="3"/>
      <c r="M1301" s="3"/>
      <c r="N1301" s="16"/>
      <c r="O1301" s="3"/>
      <c r="P1301" s="3"/>
      <c r="Q1301" s="3"/>
      <c r="R1301" s="3"/>
      <c r="S1301" s="3"/>
      <c r="T1301" s="3"/>
      <c r="U1301" s="3"/>
      <c r="V1301" s="3"/>
    </row>
    <row r="1302" spans="1:22" ht="31.5" x14ac:dyDescent="0.5">
      <c r="A1302" s="3"/>
      <c r="B1302" s="3"/>
      <c r="C1302" s="3"/>
      <c r="D1302" s="3"/>
      <c r="E1302" s="3"/>
      <c r="F1302" s="3"/>
      <c r="G1302" s="3"/>
      <c r="H1302" s="3"/>
      <c r="I1302" s="5"/>
      <c r="J1302" s="3"/>
      <c r="K1302" s="3"/>
      <c r="L1302" s="3"/>
      <c r="M1302" s="3"/>
      <c r="N1302" s="16"/>
      <c r="O1302" s="3"/>
      <c r="P1302" s="3"/>
      <c r="Q1302" s="3"/>
      <c r="R1302" s="3"/>
      <c r="S1302" s="3"/>
      <c r="T1302" s="3"/>
      <c r="U1302" s="3"/>
      <c r="V1302" s="3"/>
    </row>
    <row r="1303" spans="1:22" ht="31.5" x14ac:dyDescent="0.5">
      <c r="A1303" s="3"/>
      <c r="B1303" s="3"/>
      <c r="C1303" s="3"/>
      <c r="D1303" s="3"/>
      <c r="E1303" s="3"/>
      <c r="F1303" s="3"/>
      <c r="G1303" s="3"/>
      <c r="H1303" s="3"/>
      <c r="I1303" s="5"/>
      <c r="J1303" s="3"/>
      <c r="K1303" s="3"/>
      <c r="L1303" s="3"/>
      <c r="M1303" s="3"/>
      <c r="N1303" s="16"/>
      <c r="O1303" s="3"/>
      <c r="P1303" s="3"/>
      <c r="Q1303" s="3"/>
      <c r="R1303" s="3"/>
      <c r="S1303" s="3"/>
      <c r="T1303" s="3"/>
      <c r="U1303" s="3"/>
      <c r="V1303" s="3"/>
    </row>
    <row r="1304" spans="1:22" ht="31.5" x14ac:dyDescent="0.5">
      <c r="A1304" s="3"/>
      <c r="B1304" s="3"/>
      <c r="C1304" s="3"/>
      <c r="D1304" s="3"/>
      <c r="E1304" s="3"/>
      <c r="F1304" s="3"/>
      <c r="G1304" s="3"/>
      <c r="H1304" s="3"/>
      <c r="I1304" s="5"/>
      <c r="J1304" s="3"/>
      <c r="K1304" s="3"/>
      <c r="L1304" s="3"/>
      <c r="M1304" s="3"/>
      <c r="N1304" s="16"/>
      <c r="O1304" s="3"/>
      <c r="P1304" s="3"/>
      <c r="Q1304" s="3"/>
      <c r="R1304" s="3"/>
      <c r="S1304" s="3"/>
      <c r="T1304" s="3"/>
      <c r="U1304" s="3"/>
      <c r="V1304" s="3"/>
    </row>
    <row r="1305" spans="1:22" ht="31.5" x14ac:dyDescent="0.5">
      <c r="A1305" s="3"/>
      <c r="B1305" s="3"/>
      <c r="C1305" s="3"/>
      <c r="D1305" s="3"/>
      <c r="E1305" s="3"/>
      <c r="F1305" s="3"/>
      <c r="G1305" s="3"/>
      <c r="H1305" s="3"/>
      <c r="I1305" s="5"/>
      <c r="J1305" s="3"/>
      <c r="K1305" s="3"/>
      <c r="L1305" s="3"/>
      <c r="M1305" s="3"/>
      <c r="N1305" s="16"/>
      <c r="O1305" s="3"/>
      <c r="P1305" s="3"/>
      <c r="Q1305" s="3"/>
      <c r="R1305" s="3"/>
      <c r="S1305" s="3"/>
      <c r="T1305" s="3"/>
      <c r="U1305" s="3"/>
      <c r="V1305" s="3"/>
    </row>
    <row r="1306" spans="1:22" ht="31.5" x14ac:dyDescent="0.5">
      <c r="A1306" s="3"/>
      <c r="B1306" s="3"/>
      <c r="C1306" s="3"/>
      <c r="D1306" s="3"/>
      <c r="E1306" s="3"/>
      <c r="F1306" s="3"/>
      <c r="G1306" s="3"/>
      <c r="H1306" s="3"/>
      <c r="I1306" s="5"/>
      <c r="J1306" s="3"/>
      <c r="K1306" s="3"/>
      <c r="L1306" s="3"/>
      <c r="M1306" s="3"/>
      <c r="N1306" s="16"/>
      <c r="O1306" s="3"/>
      <c r="P1306" s="3"/>
      <c r="Q1306" s="3"/>
      <c r="R1306" s="3"/>
      <c r="S1306" s="3"/>
      <c r="T1306" s="3"/>
      <c r="U1306" s="3"/>
      <c r="V1306" s="3"/>
    </row>
    <row r="1307" spans="1:22" ht="31.5" x14ac:dyDescent="0.5">
      <c r="A1307" s="3"/>
      <c r="B1307" s="3"/>
      <c r="C1307" s="3"/>
      <c r="D1307" s="3"/>
      <c r="E1307" s="3"/>
      <c r="F1307" s="3"/>
      <c r="G1307" s="3"/>
      <c r="H1307" s="3"/>
      <c r="I1307" s="5"/>
      <c r="J1307" s="3"/>
      <c r="K1307" s="3"/>
      <c r="L1307" s="3"/>
      <c r="M1307" s="3"/>
      <c r="N1307" s="16"/>
      <c r="O1307" s="3"/>
      <c r="P1307" s="3"/>
      <c r="Q1307" s="3"/>
      <c r="R1307" s="3"/>
      <c r="S1307" s="3"/>
      <c r="T1307" s="3"/>
      <c r="U1307" s="3"/>
      <c r="V1307" s="3"/>
    </row>
    <row r="1308" spans="1:22" ht="31.5" x14ac:dyDescent="0.5">
      <c r="A1308" s="3"/>
      <c r="B1308" s="3"/>
      <c r="C1308" s="3"/>
      <c r="D1308" s="3"/>
      <c r="E1308" s="3"/>
      <c r="F1308" s="3"/>
      <c r="G1308" s="3"/>
      <c r="H1308" s="3"/>
      <c r="I1308" s="5"/>
      <c r="J1308" s="3"/>
      <c r="K1308" s="3"/>
      <c r="L1308" s="3"/>
      <c r="M1308" s="3"/>
      <c r="N1308" s="16"/>
      <c r="O1308" s="3"/>
      <c r="P1308" s="3"/>
      <c r="Q1308" s="3"/>
      <c r="R1308" s="3"/>
      <c r="S1308" s="3"/>
      <c r="T1308" s="3"/>
      <c r="U1308" s="3"/>
      <c r="V1308" s="3"/>
    </row>
    <row r="1309" spans="1:22" ht="31.5" x14ac:dyDescent="0.5">
      <c r="A1309" s="3"/>
      <c r="B1309" s="3"/>
      <c r="C1309" s="3"/>
      <c r="D1309" s="3"/>
      <c r="E1309" s="3"/>
      <c r="F1309" s="3"/>
      <c r="G1309" s="3"/>
      <c r="H1309" s="3"/>
      <c r="I1309" s="5"/>
      <c r="J1309" s="3"/>
      <c r="K1309" s="3"/>
      <c r="L1309" s="3"/>
      <c r="M1309" s="3"/>
      <c r="N1309" s="16"/>
      <c r="O1309" s="3"/>
      <c r="P1309" s="3"/>
      <c r="Q1309" s="3"/>
      <c r="R1309" s="3"/>
      <c r="S1309" s="3"/>
      <c r="T1309" s="3"/>
      <c r="U1309" s="3"/>
      <c r="V1309" s="3"/>
    </row>
    <row r="1310" spans="1:22" ht="31.5" x14ac:dyDescent="0.5">
      <c r="A1310" s="3"/>
      <c r="B1310" s="3"/>
      <c r="C1310" s="3"/>
      <c r="D1310" s="3"/>
      <c r="E1310" s="3"/>
      <c r="F1310" s="3"/>
      <c r="G1310" s="3"/>
      <c r="H1310" s="3"/>
      <c r="I1310" s="5"/>
      <c r="J1310" s="3"/>
      <c r="K1310" s="3"/>
      <c r="L1310" s="3"/>
      <c r="M1310" s="3"/>
      <c r="N1310" s="16"/>
      <c r="O1310" s="3"/>
      <c r="P1310" s="3"/>
      <c r="Q1310" s="3"/>
      <c r="R1310" s="3"/>
      <c r="S1310" s="3"/>
      <c r="T1310" s="3"/>
      <c r="U1310" s="3"/>
      <c r="V1310" s="3"/>
    </row>
    <row r="1311" spans="1:22" ht="31.5" x14ac:dyDescent="0.5">
      <c r="A1311" s="3"/>
      <c r="B1311" s="3"/>
      <c r="C1311" s="3"/>
      <c r="D1311" s="3"/>
      <c r="E1311" s="3"/>
      <c r="F1311" s="3"/>
      <c r="G1311" s="3"/>
      <c r="H1311" s="3"/>
      <c r="I1311" s="5"/>
      <c r="J1311" s="3"/>
      <c r="K1311" s="3"/>
      <c r="L1311" s="3"/>
      <c r="M1311" s="3"/>
      <c r="N1311" s="16"/>
      <c r="O1311" s="3"/>
      <c r="P1311" s="3"/>
      <c r="Q1311" s="3"/>
      <c r="R1311" s="3"/>
      <c r="S1311" s="3"/>
      <c r="T1311" s="3"/>
      <c r="U1311" s="3"/>
      <c r="V1311" s="3"/>
    </row>
    <row r="1312" spans="1:22" ht="31.5" x14ac:dyDescent="0.5">
      <c r="A1312" s="3"/>
      <c r="B1312" s="3"/>
      <c r="C1312" s="3"/>
      <c r="D1312" s="3"/>
      <c r="E1312" s="3"/>
      <c r="F1312" s="3"/>
      <c r="G1312" s="3"/>
      <c r="H1312" s="3"/>
      <c r="I1312" s="5"/>
      <c r="J1312" s="3"/>
      <c r="K1312" s="3"/>
      <c r="L1312" s="3"/>
      <c r="M1312" s="3"/>
      <c r="N1312" s="16"/>
      <c r="O1312" s="3"/>
      <c r="P1312" s="3"/>
      <c r="Q1312" s="3"/>
      <c r="R1312" s="3"/>
      <c r="S1312" s="3"/>
      <c r="T1312" s="3"/>
      <c r="U1312" s="3"/>
      <c r="V1312" s="3"/>
    </row>
    <row r="1313" spans="1:22" ht="31.5" x14ac:dyDescent="0.5">
      <c r="A1313" s="3"/>
      <c r="B1313" s="3"/>
      <c r="C1313" s="3"/>
      <c r="D1313" s="3"/>
      <c r="E1313" s="3"/>
      <c r="F1313" s="3"/>
      <c r="G1313" s="3"/>
      <c r="H1313" s="3"/>
      <c r="I1313" s="5"/>
      <c r="J1313" s="3"/>
      <c r="K1313" s="3"/>
      <c r="L1313" s="3"/>
      <c r="M1313" s="3"/>
      <c r="N1313" s="16"/>
      <c r="O1313" s="3"/>
      <c r="P1313" s="3"/>
      <c r="Q1313" s="3"/>
      <c r="R1313" s="3"/>
      <c r="S1313" s="3"/>
      <c r="T1313" s="3"/>
      <c r="U1313" s="3"/>
      <c r="V1313" s="3"/>
    </row>
    <row r="1314" spans="1:22" ht="31.5" x14ac:dyDescent="0.5">
      <c r="A1314" s="3"/>
      <c r="B1314" s="3"/>
      <c r="C1314" s="3"/>
      <c r="D1314" s="3"/>
      <c r="E1314" s="3"/>
      <c r="F1314" s="3"/>
      <c r="G1314" s="3"/>
      <c r="H1314" s="3"/>
      <c r="I1314" s="5"/>
      <c r="J1314" s="3"/>
      <c r="K1314" s="3"/>
      <c r="L1314" s="3"/>
      <c r="M1314" s="3"/>
      <c r="N1314" s="16"/>
      <c r="O1314" s="3"/>
      <c r="P1314" s="3"/>
      <c r="Q1314" s="3"/>
      <c r="R1314" s="3"/>
      <c r="S1314" s="3"/>
      <c r="T1314" s="3"/>
      <c r="U1314" s="3"/>
      <c r="V1314" s="3"/>
    </row>
    <row r="1315" spans="1:22" ht="31.5" x14ac:dyDescent="0.5">
      <c r="A1315" s="3"/>
      <c r="B1315" s="3"/>
      <c r="C1315" s="3"/>
      <c r="D1315" s="3"/>
      <c r="E1315" s="3"/>
      <c r="F1315" s="3"/>
      <c r="G1315" s="3"/>
      <c r="H1315" s="3"/>
      <c r="I1315" s="5"/>
      <c r="J1315" s="3"/>
      <c r="K1315" s="3"/>
      <c r="L1315" s="3"/>
      <c r="M1315" s="3"/>
      <c r="N1315" s="16"/>
      <c r="O1315" s="3"/>
      <c r="P1315" s="3"/>
      <c r="Q1315" s="3"/>
      <c r="R1315" s="3"/>
      <c r="S1315" s="3"/>
      <c r="T1315" s="3"/>
      <c r="U1315" s="3"/>
      <c r="V1315" s="3"/>
    </row>
    <row r="1316" spans="1:22" ht="31.5" x14ac:dyDescent="0.5">
      <c r="A1316" s="3"/>
      <c r="B1316" s="3"/>
      <c r="C1316" s="3"/>
      <c r="D1316" s="3"/>
      <c r="E1316" s="3"/>
      <c r="F1316" s="3"/>
      <c r="G1316" s="3"/>
      <c r="H1316" s="3"/>
      <c r="I1316" s="5"/>
      <c r="J1316" s="3"/>
      <c r="K1316" s="3"/>
      <c r="L1316" s="3"/>
      <c r="M1316" s="3"/>
      <c r="N1316" s="16"/>
      <c r="O1316" s="3"/>
      <c r="P1316" s="3"/>
      <c r="Q1316" s="3"/>
      <c r="R1316" s="3"/>
      <c r="S1316" s="3"/>
      <c r="T1316" s="3"/>
      <c r="U1316" s="3"/>
      <c r="V1316" s="3"/>
    </row>
    <row r="1317" spans="1:22" ht="31.5" x14ac:dyDescent="0.5">
      <c r="A1317" s="3"/>
      <c r="B1317" s="3"/>
      <c r="C1317" s="3"/>
      <c r="D1317" s="3"/>
      <c r="E1317" s="3"/>
      <c r="F1317" s="3"/>
      <c r="G1317" s="3"/>
      <c r="H1317" s="3"/>
      <c r="I1317" s="5"/>
      <c r="J1317" s="3"/>
      <c r="K1317" s="3"/>
      <c r="L1317" s="3"/>
      <c r="M1317" s="3"/>
      <c r="N1317" s="16"/>
      <c r="O1317" s="3"/>
      <c r="P1317" s="3"/>
      <c r="Q1317" s="3"/>
      <c r="R1317" s="3"/>
      <c r="S1317" s="3"/>
      <c r="T1317" s="3"/>
      <c r="U1317" s="3"/>
      <c r="V1317" s="3"/>
    </row>
    <row r="1318" spans="1:22" ht="31.5" x14ac:dyDescent="0.5">
      <c r="A1318" s="3"/>
      <c r="B1318" s="3"/>
      <c r="C1318" s="3"/>
      <c r="D1318" s="3"/>
      <c r="E1318" s="3"/>
      <c r="F1318" s="3"/>
      <c r="G1318" s="3"/>
      <c r="H1318" s="3"/>
      <c r="I1318" s="5"/>
      <c r="J1318" s="3"/>
      <c r="K1318" s="3"/>
      <c r="L1318" s="3"/>
      <c r="M1318" s="3"/>
      <c r="N1318" s="16"/>
      <c r="O1318" s="3"/>
      <c r="P1318" s="3"/>
      <c r="Q1318" s="3"/>
      <c r="R1318" s="3"/>
      <c r="S1318" s="3"/>
      <c r="T1318" s="3"/>
      <c r="U1318" s="3"/>
      <c r="V1318" s="3"/>
    </row>
    <row r="1319" spans="1:22" ht="31.5" x14ac:dyDescent="0.5">
      <c r="A1319" s="3"/>
      <c r="B1319" s="3"/>
      <c r="C1319" s="3"/>
      <c r="D1319" s="3"/>
      <c r="E1319" s="3"/>
      <c r="F1319" s="3"/>
      <c r="G1319" s="3"/>
      <c r="H1319" s="3"/>
      <c r="I1319" s="5"/>
      <c r="J1319" s="3"/>
      <c r="K1319" s="3"/>
      <c r="L1319" s="3"/>
      <c r="M1319" s="3"/>
      <c r="N1319" s="16"/>
      <c r="O1319" s="3"/>
      <c r="P1319" s="3"/>
      <c r="Q1319" s="3"/>
      <c r="R1319" s="3"/>
      <c r="S1319" s="3"/>
      <c r="T1319" s="3"/>
      <c r="U1319" s="3"/>
      <c r="V1319" s="3"/>
    </row>
    <row r="1320" spans="1:22" ht="31.5" x14ac:dyDescent="0.5">
      <c r="A1320" s="3"/>
      <c r="B1320" s="3"/>
      <c r="C1320" s="3"/>
      <c r="D1320" s="3"/>
      <c r="E1320" s="3"/>
      <c r="F1320" s="3"/>
      <c r="G1320" s="3"/>
      <c r="H1320" s="3"/>
      <c r="I1320" s="5"/>
      <c r="J1320" s="3"/>
      <c r="K1320" s="3"/>
      <c r="L1320" s="3"/>
      <c r="M1320" s="3"/>
      <c r="N1320" s="16"/>
      <c r="O1320" s="3"/>
      <c r="P1320" s="3"/>
      <c r="Q1320" s="3"/>
      <c r="R1320" s="3"/>
      <c r="S1320" s="3"/>
      <c r="T1320" s="3"/>
      <c r="U1320" s="3"/>
      <c r="V1320" s="3"/>
    </row>
    <row r="1321" spans="1:22" ht="31.5" x14ac:dyDescent="0.5">
      <c r="A1321" s="3"/>
      <c r="B1321" s="3"/>
      <c r="C1321" s="3"/>
      <c r="D1321" s="3"/>
      <c r="E1321" s="3"/>
      <c r="F1321" s="3"/>
      <c r="G1321" s="3"/>
      <c r="H1321" s="3"/>
      <c r="I1321" s="5"/>
      <c r="J1321" s="3"/>
      <c r="K1321" s="3"/>
      <c r="L1321" s="3"/>
      <c r="M1321" s="3"/>
      <c r="N1321" s="16"/>
      <c r="O1321" s="3"/>
      <c r="P1321" s="3"/>
      <c r="Q1321" s="3"/>
      <c r="R1321" s="3"/>
      <c r="S1321" s="3"/>
      <c r="T1321" s="3"/>
      <c r="U1321" s="3"/>
      <c r="V1321" s="3"/>
    </row>
    <row r="1322" spans="1:22" ht="31.5" x14ac:dyDescent="0.5">
      <c r="A1322" s="3"/>
      <c r="B1322" s="3"/>
      <c r="C1322" s="3"/>
      <c r="D1322" s="3"/>
      <c r="E1322" s="3"/>
      <c r="F1322" s="3"/>
      <c r="G1322" s="3"/>
      <c r="H1322" s="3"/>
      <c r="I1322" s="5"/>
      <c r="J1322" s="3"/>
      <c r="K1322" s="3"/>
      <c r="L1322" s="3"/>
      <c r="M1322" s="3"/>
      <c r="N1322" s="16"/>
      <c r="O1322" s="3"/>
      <c r="P1322" s="3"/>
      <c r="Q1322" s="3"/>
      <c r="R1322" s="3"/>
      <c r="S1322" s="3"/>
      <c r="T1322" s="3"/>
      <c r="U1322" s="3"/>
      <c r="V1322" s="3"/>
    </row>
    <row r="1323" spans="1:22" ht="31.5" x14ac:dyDescent="0.5">
      <c r="A1323" s="3"/>
      <c r="B1323" s="3"/>
      <c r="C1323" s="3"/>
      <c r="D1323" s="3"/>
      <c r="E1323" s="3"/>
      <c r="F1323" s="3"/>
      <c r="G1323" s="3"/>
      <c r="H1323" s="3"/>
      <c r="I1323" s="5"/>
      <c r="J1323" s="3"/>
      <c r="K1323" s="3"/>
      <c r="L1323" s="3"/>
      <c r="M1323" s="3"/>
      <c r="N1323" s="16"/>
      <c r="O1323" s="3"/>
      <c r="P1323" s="3"/>
      <c r="Q1323" s="3"/>
      <c r="R1323" s="3"/>
      <c r="S1323" s="3"/>
      <c r="T1323" s="3"/>
      <c r="U1323" s="3"/>
      <c r="V1323" s="3"/>
    </row>
    <row r="1324" spans="1:22" ht="31.5" x14ac:dyDescent="0.5">
      <c r="A1324" s="3"/>
      <c r="B1324" s="3"/>
      <c r="C1324" s="3"/>
      <c r="D1324" s="3"/>
      <c r="E1324" s="3"/>
      <c r="F1324" s="3"/>
      <c r="G1324" s="3"/>
      <c r="H1324" s="3"/>
      <c r="I1324" s="5"/>
      <c r="J1324" s="3"/>
      <c r="K1324" s="3"/>
      <c r="L1324" s="3"/>
      <c r="M1324" s="3"/>
      <c r="N1324" s="16"/>
      <c r="O1324" s="3"/>
      <c r="P1324" s="3"/>
      <c r="Q1324" s="3"/>
      <c r="R1324" s="3"/>
      <c r="S1324" s="3"/>
      <c r="T1324" s="3"/>
      <c r="U1324" s="3"/>
      <c r="V1324" s="3"/>
    </row>
    <row r="1325" spans="1:22" ht="31.5" x14ac:dyDescent="0.5">
      <c r="A1325" s="3"/>
      <c r="B1325" s="3"/>
      <c r="C1325" s="3"/>
      <c r="D1325" s="3"/>
      <c r="E1325" s="3"/>
      <c r="F1325" s="3"/>
      <c r="G1325" s="3"/>
      <c r="H1325" s="3"/>
      <c r="I1325" s="5"/>
      <c r="J1325" s="3"/>
      <c r="K1325" s="3"/>
      <c r="L1325" s="3"/>
      <c r="M1325" s="3"/>
      <c r="N1325" s="16"/>
      <c r="O1325" s="3"/>
      <c r="P1325" s="3"/>
      <c r="Q1325" s="3"/>
      <c r="R1325" s="3"/>
      <c r="S1325" s="3"/>
      <c r="T1325" s="3"/>
      <c r="U1325" s="3"/>
      <c r="V1325" s="3"/>
    </row>
    <row r="1326" spans="1:22" ht="31.5" x14ac:dyDescent="0.5">
      <c r="A1326" s="3"/>
      <c r="B1326" s="3"/>
      <c r="C1326" s="3"/>
      <c r="D1326" s="3"/>
      <c r="E1326" s="3"/>
      <c r="F1326" s="3"/>
      <c r="G1326" s="3"/>
      <c r="H1326" s="3"/>
      <c r="I1326" s="5"/>
      <c r="J1326" s="3"/>
      <c r="K1326" s="3"/>
      <c r="L1326" s="3"/>
      <c r="M1326" s="3"/>
      <c r="N1326" s="16"/>
      <c r="O1326" s="3"/>
      <c r="P1326" s="3"/>
      <c r="Q1326" s="3"/>
      <c r="R1326" s="3"/>
      <c r="S1326" s="3"/>
      <c r="T1326" s="3"/>
      <c r="U1326" s="3"/>
      <c r="V1326" s="3"/>
    </row>
    <row r="1327" spans="1:22" ht="31.5" x14ac:dyDescent="0.5">
      <c r="A1327" s="3"/>
      <c r="B1327" s="3"/>
      <c r="C1327" s="3"/>
      <c r="D1327" s="3"/>
      <c r="E1327" s="3"/>
      <c r="F1327" s="3"/>
      <c r="G1327" s="3"/>
      <c r="H1327" s="3"/>
      <c r="I1327" s="5"/>
      <c r="J1327" s="3"/>
      <c r="K1327" s="3"/>
      <c r="L1327" s="3"/>
      <c r="M1327" s="3"/>
      <c r="N1327" s="16"/>
      <c r="O1327" s="3"/>
      <c r="P1327" s="3"/>
      <c r="Q1327" s="3"/>
      <c r="R1327" s="3"/>
      <c r="S1327" s="3"/>
      <c r="T1327" s="3"/>
      <c r="U1327" s="3"/>
      <c r="V1327" s="3"/>
    </row>
    <row r="1328" spans="1:22" ht="31.5" x14ac:dyDescent="0.5">
      <c r="A1328" s="3"/>
      <c r="B1328" s="3"/>
      <c r="C1328" s="3"/>
      <c r="D1328" s="3"/>
      <c r="E1328" s="3"/>
      <c r="F1328" s="3"/>
      <c r="G1328" s="3"/>
      <c r="H1328" s="3"/>
      <c r="I1328" s="5"/>
      <c r="J1328" s="3"/>
      <c r="K1328" s="3"/>
      <c r="L1328" s="3"/>
      <c r="M1328" s="3"/>
      <c r="N1328" s="16"/>
      <c r="O1328" s="3"/>
      <c r="P1328" s="3"/>
      <c r="Q1328" s="3"/>
      <c r="R1328" s="3"/>
      <c r="S1328" s="3"/>
      <c r="T1328" s="3"/>
      <c r="U1328" s="3"/>
      <c r="V1328" s="3"/>
    </row>
    <row r="1329" spans="1:22" ht="31.5" x14ac:dyDescent="0.5">
      <c r="A1329" s="3"/>
      <c r="B1329" s="3"/>
      <c r="C1329" s="3"/>
      <c r="D1329" s="3"/>
      <c r="E1329" s="3"/>
      <c r="F1329" s="3"/>
      <c r="G1329" s="3"/>
      <c r="H1329" s="3"/>
      <c r="I1329" s="5"/>
      <c r="J1329" s="3"/>
      <c r="K1329" s="3"/>
      <c r="L1329" s="3"/>
      <c r="M1329" s="3"/>
      <c r="N1329" s="16"/>
      <c r="O1329" s="3"/>
      <c r="P1329" s="3"/>
      <c r="Q1329" s="3"/>
      <c r="R1329" s="3"/>
      <c r="S1329" s="3"/>
      <c r="T1329" s="3"/>
      <c r="U1329" s="3"/>
      <c r="V1329" s="3"/>
    </row>
    <row r="1330" spans="1:22" ht="31.5" x14ac:dyDescent="0.5">
      <c r="A1330" s="3"/>
      <c r="B1330" s="3"/>
      <c r="C1330" s="3"/>
      <c r="D1330" s="3"/>
      <c r="E1330" s="3"/>
      <c r="F1330" s="3"/>
      <c r="G1330" s="3"/>
      <c r="H1330" s="3"/>
      <c r="I1330" s="5"/>
      <c r="J1330" s="3"/>
      <c r="K1330" s="3"/>
      <c r="L1330" s="3"/>
      <c r="M1330" s="3"/>
      <c r="N1330" s="16"/>
      <c r="O1330" s="3"/>
      <c r="P1330" s="3"/>
      <c r="Q1330" s="3"/>
      <c r="R1330" s="3"/>
      <c r="S1330" s="3"/>
      <c r="T1330" s="3"/>
      <c r="U1330" s="3"/>
      <c r="V1330" s="3"/>
    </row>
    <row r="1331" spans="1:22" ht="31.5" x14ac:dyDescent="0.5">
      <c r="A1331" s="3"/>
      <c r="B1331" s="3"/>
      <c r="C1331" s="3"/>
      <c r="D1331" s="3"/>
      <c r="E1331" s="3"/>
      <c r="F1331" s="3"/>
      <c r="G1331" s="3"/>
      <c r="H1331" s="3"/>
      <c r="I1331" s="5"/>
      <c r="J1331" s="3"/>
      <c r="K1331" s="3"/>
      <c r="L1331" s="3"/>
      <c r="M1331" s="3"/>
      <c r="N1331" s="16"/>
      <c r="O1331" s="3"/>
      <c r="P1331" s="3"/>
      <c r="Q1331" s="3"/>
      <c r="R1331" s="3"/>
      <c r="S1331" s="3"/>
      <c r="T1331" s="3"/>
      <c r="U1331" s="3"/>
      <c r="V1331" s="3"/>
    </row>
    <row r="1332" spans="1:22" ht="31.5" x14ac:dyDescent="0.5">
      <c r="A1332" s="3"/>
      <c r="B1332" s="3"/>
      <c r="C1332" s="3"/>
      <c r="D1332" s="3"/>
      <c r="E1332" s="3"/>
      <c r="F1332" s="3"/>
      <c r="G1332" s="3"/>
      <c r="H1332" s="3"/>
      <c r="I1332" s="5"/>
      <c r="J1332" s="3"/>
      <c r="K1332" s="3"/>
      <c r="L1332" s="3"/>
      <c r="M1332" s="3"/>
      <c r="N1332" s="16"/>
      <c r="O1332" s="3"/>
      <c r="P1332" s="3"/>
      <c r="Q1332" s="3"/>
      <c r="R1332" s="3"/>
      <c r="S1332" s="3"/>
      <c r="T1332" s="3"/>
      <c r="U1332" s="3"/>
      <c r="V1332" s="3"/>
    </row>
    <row r="1333" spans="1:22" ht="31.5" x14ac:dyDescent="0.5">
      <c r="A1333" s="3"/>
      <c r="B1333" s="3"/>
      <c r="C1333" s="3"/>
      <c r="D1333" s="3"/>
      <c r="E1333" s="3"/>
      <c r="F1333" s="3"/>
      <c r="G1333" s="3"/>
      <c r="H1333" s="3"/>
      <c r="I1333" s="5"/>
      <c r="J1333" s="3"/>
      <c r="K1333" s="3"/>
      <c r="L1333" s="3"/>
      <c r="M1333" s="3"/>
      <c r="N1333" s="16"/>
      <c r="O1333" s="3"/>
      <c r="P1333" s="3"/>
      <c r="Q1333" s="3"/>
      <c r="R1333" s="3"/>
      <c r="S1333" s="3"/>
      <c r="T1333" s="3"/>
      <c r="U1333" s="3"/>
      <c r="V1333" s="3"/>
    </row>
    <row r="1334" spans="1:22" ht="31.5" x14ac:dyDescent="0.5">
      <c r="A1334" s="3"/>
      <c r="B1334" s="3"/>
      <c r="C1334" s="3"/>
      <c r="D1334" s="3"/>
      <c r="E1334" s="3"/>
      <c r="F1334" s="3"/>
      <c r="G1334" s="3"/>
      <c r="H1334" s="3"/>
      <c r="I1334" s="5"/>
      <c r="J1334" s="3"/>
      <c r="K1334" s="3"/>
      <c r="L1334" s="3"/>
      <c r="M1334" s="3"/>
      <c r="N1334" s="16"/>
      <c r="O1334" s="3"/>
      <c r="P1334" s="3"/>
      <c r="Q1334" s="3"/>
      <c r="R1334" s="3"/>
      <c r="S1334" s="3"/>
      <c r="T1334" s="3"/>
      <c r="U1334" s="3"/>
      <c r="V1334" s="3"/>
    </row>
    <row r="1335" spans="1:22" ht="31.5" x14ac:dyDescent="0.5">
      <c r="A1335" s="3"/>
      <c r="B1335" s="3"/>
      <c r="C1335" s="3"/>
      <c r="D1335" s="3"/>
      <c r="E1335" s="3"/>
      <c r="F1335" s="3"/>
      <c r="G1335" s="3"/>
      <c r="H1335" s="3"/>
      <c r="I1335" s="5"/>
      <c r="J1335" s="3"/>
      <c r="K1335" s="3"/>
      <c r="L1335" s="3"/>
      <c r="M1335" s="3"/>
      <c r="N1335" s="16"/>
      <c r="O1335" s="3"/>
      <c r="P1335" s="3"/>
      <c r="Q1335" s="3"/>
      <c r="R1335" s="3"/>
      <c r="S1335" s="3"/>
      <c r="T1335" s="3"/>
      <c r="U1335" s="3"/>
      <c r="V1335" s="3"/>
    </row>
    <row r="1336" spans="1:22" ht="31.5" x14ac:dyDescent="0.5">
      <c r="A1336" s="3"/>
      <c r="B1336" s="3"/>
      <c r="C1336" s="3"/>
      <c r="D1336" s="3"/>
      <c r="E1336" s="3"/>
      <c r="F1336" s="3"/>
      <c r="G1336" s="3"/>
      <c r="H1336" s="3"/>
      <c r="I1336" s="5"/>
      <c r="J1336" s="3"/>
      <c r="K1336" s="3"/>
      <c r="L1336" s="3"/>
      <c r="M1336" s="3"/>
      <c r="N1336" s="16"/>
      <c r="O1336" s="3"/>
      <c r="P1336" s="3"/>
      <c r="Q1336" s="3"/>
      <c r="R1336" s="3"/>
      <c r="S1336" s="3"/>
      <c r="T1336" s="3"/>
      <c r="U1336" s="3"/>
      <c r="V1336" s="3"/>
    </row>
    <row r="1337" spans="1:22" ht="31.5" x14ac:dyDescent="0.5">
      <c r="A1337" s="3"/>
      <c r="B1337" s="3"/>
      <c r="C1337" s="3"/>
      <c r="D1337" s="3"/>
      <c r="E1337" s="3"/>
      <c r="F1337" s="3"/>
      <c r="G1337" s="3"/>
      <c r="H1337" s="3"/>
      <c r="I1337" s="5"/>
      <c r="J1337" s="3"/>
      <c r="K1337" s="3"/>
      <c r="L1337" s="3"/>
      <c r="M1337" s="3"/>
      <c r="N1337" s="16"/>
      <c r="O1337" s="3"/>
      <c r="P1337" s="3"/>
      <c r="Q1337" s="3"/>
      <c r="R1337" s="3"/>
      <c r="S1337" s="3"/>
      <c r="T1337" s="3"/>
      <c r="U1337" s="3"/>
      <c r="V1337" s="3"/>
    </row>
    <row r="1338" spans="1:22" ht="31.5" x14ac:dyDescent="0.5">
      <c r="A1338" s="3"/>
      <c r="B1338" s="3"/>
      <c r="C1338" s="3"/>
      <c r="D1338" s="3"/>
      <c r="E1338" s="3"/>
      <c r="F1338" s="3"/>
      <c r="G1338" s="3"/>
      <c r="H1338" s="3"/>
      <c r="I1338" s="5"/>
      <c r="J1338" s="3"/>
      <c r="K1338" s="3"/>
      <c r="L1338" s="3"/>
      <c r="M1338" s="3"/>
      <c r="N1338" s="16"/>
      <c r="O1338" s="3"/>
      <c r="P1338" s="3"/>
      <c r="Q1338" s="3"/>
      <c r="R1338" s="3"/>
      <c r="S1338" s="3"/>
      <c r="T1338" s="3"/>
      <c r="U1338" s="3"/>
      <c r="V1338" s="3"/>
    </row>
    <row r="1339" spans="1:22" ht="31.5" x14ac:dyDescent="0.5">
      <c r="A1339" s="3"/>
      <c r="B1339" s="3"/>
      <c r="C1339" s="3"/>
      <c r="D1339" s="3"/>
      <c r="E1339" s="3"/>
      <c r="F1339" s="3"/>
      <c r="G1339" s="3"/>
      <c r="H1339" s="3"/>
      <c r="I1339" s="5"/>
      <c r="J1339" s="3"/>
      <c r="K1339" s="3"/>
      <c r="L1339" s="3"/>
      <c r="M1339" s="3"/>
      <c r="N1339" s="16"/>
      <c r="O1339" s="3"/>
      <c r="P1339" s="3"/>
      <c r="Q1339" s="3"/>
      <c r="R1339" s="3"/>
      <c r="S1339" s="3"/>
      <c r="T1339" s="3"/>
      <c r="U1339" s="3"/>
      <c r="V1339" s="3"/>
    </row>
    <row r="1340" spans="1:22" ht="31.5" x14ac:dyDescent="0.5">
      <c r="A1340" s="3"/>
      <c r="B1340" s="3"/>
      <c r="C1340" s="3"/>
      <c r="D1340" s="3"/>
      <c r="E1340" s="3"/>
      <c r="F1340" s="3"/>
      <c r="G1340" s="3"/>
      <c r="H1340" s="3"/>
      <c r="I1340" s="5"/>
      <c r="J1340" s="3"/>
      <c r="K1340" s="3"/>
      <c r="L1340" s="3"/>
      <c r="M1340" s="3"/>
      <c r="N1340" s="16"/>
      <c r="O1340" s="3"/>
      <c r="P1340" s="3"/>
      <c r="Q1340" s="3"/>
      <c r="R1340" s="3"/>
      <c r="S1340" s="3"/>
      <c r="T1340" s="3"/>
      <c r="U1340" s="3"/>
      <c r="V1340" s="3"/>
    </row>
    <row r="1341" spans="1:22" ht="31.5" x14ac:dyDescent="0.5">
      <c r="A1341" s="3"/>
      <c r="B1341" s="3"/>
      <c r="C1341" s="3"/>
      <c r="D1341" s="3"/>
      <c r="E1341" s="3"/>
      <c r="F1341" s="3"/>
      <c r="G1341" s="3"/>
      <c r="H1341" s="3"/>
      <c r="I1341" s="5"/>
      <c r="J1341" s="3"/>
      <c r="K1341" s="3"/>
      <c r="L1341" s="3"/>
      <c r="M1341" s="3"/>
      <c r="N1341" s="16"/>
      <c r="O1341" s="3"/>
      <c r="P1341" s="3"/>
      <c r="Q1341" s="3"/>
      <c r="R1341" s="3"/>
      <c r="S1341" s="3"/>
      <c r="T1341" s="3"/>
      <c r="U1341" s="3"/>
      <c r="V1341" s="3"/>
    </row>
    <row r="1342" spans="1:22" ht="31.5" x14ac:dyDescent="0.5">
      <c r="A1342" s="3"/>
      <c r="B1342" s="3"/>
      <c r="C1342" s="3"/>
      <c r="D1342" s="3"/>
      <c r="E1342" s="3"/>
      <c r="F1342" s="3"/>
      <c r="G1342" s="3"/>
      <c r="H1342" s="3"/>
      <c r="I1342" s="5"/>
      <c r="J1342" s="3"/>
      <c r="K1342" s="3"/>
      <c r="L1342" s="3"/>
      <c r="M1342" s="3"/>
      <c r="N1342" s="16"/>
      <c r="O1342" s="3"/>
      <c r="P1342" s="3"/>
      <c r="Q1342" s="3"/>
      <c r="R1342" s="3"/>
      <c r="S1342" s="3"/>
      <c r="T1342" s="3"/>
      <c r="U1342" s="3"/>
      <c r="V1342" s="3"/>
    </row>
    <row r="1343" spans="1:22" ht="31.5" x14ac:dyDescent="0.5">
      <c r="A1343" s="3"/>
      <c r="B1343" s="3"/>
      <c r="C1343" s="3"/>
      <c r="D1343" s="3"/>
      <c r="E1343" s="3"/>
      <c r="F1343" s="3"/>
      <c r="G1343" s="3"/>
      <c r="H1343" s="3"/>
      <c r="I1343" s="5"/>
      <c r="J1343" s="3"/>
      <c r="K1343" s="3"/>
      <c r="L1343" s="3"/>
      <c r="M1343" s="3"/>
      <c r="N1343" s="16"/>
      <c r="O1343" s="3"/>
      <c r="P1343" s="3"/>
      <c r="Q1343" s="3"/>
      <c r="R1343" s="3"/>
      <c r="S1343" s="3"/>
      <c r="T1343" s="3"/>
      <c r="U1343" s="3"/>
      <c r="V1343" s="3"/>
    </row>
    <row r="1344" spans="1:22" ht="31.5" x14ac:dyDescent="0.5">
      <c r="A1344" s="3"/>
      <c r="B1344" s="3"/>
      <c r="C1344" s="3"/>
      <c r="D1344" s="3"/>
      <c r="E1344" s="3"/>
      <c r="F1344" s="3"/>
      <c r="G1344" s="3"/>
      <c r="H1344" s="3"/>
      <c r="I1344" s="5"/>
      <c r="J1344" s="3"/>
      <c r="K1344" s="3"/>
      <c r="L1344" s="3"/>
      <c r="M1344" s="3"/>
      <c r="N1344" s="16"/>
      <c r="O1344" s="3"/>
      <c r="P1344" s="3"/>
      <c r="Q1344" s="3"/>
      <c r="R1344" s="3"/>
      <c r="S1344" s="3"/>
      <c r="T1344" s="3"/>
      <c r="U1344" s="3"/>
      <c r="V1344" s="3"/>
    </row>
    <row r="1345" spans="1:22" ht="31.5" x14ac:dyDescent="0.5">
      <c r="A1345" s="3"/>
      <c r="B1345" s="3"/>
      <c r="C1345" s="3"/>
      <c r="D1345" s="3"/>
      <c r="E1345" s="3"/>
      <c r="F1345" s="3"/>
      <c r="G1345" s="3"/>
      <c r="H1345" s="3"/>
      <c r="I1345" s="5"/>
      <c r="J1345" s="3"/>
      <c r="K1345" s="3"/>
      <c r="L1345" s="3"/>
      <c r="M1345" s="3"/>
      <c r="N1345" s="16"/>
      <c r="O1345" s="3"/>
      <c r="P1345" s="3"/>
      <c r="Q1345" s="3"/>
      <c r="R1345" s="3"/>
      <c r="S1345" s="3"/>
      <c r="T1345" s="3"/>
      <c r="U1345" s="3"/>
      <c r="V1345" s="3"/>
    </row>
    <row r="1346" spans="1:22" ht="31.5" x14ac:dyDescent="0.5">
      <c r="A1346" s="3"/>
      <c r="B1346" s="3"/>
      <c r="C1346" s="3"/>
      <c r="D1346" s="3"/>
      <c r="E1346" s="3"/>
      <c r="F1346" s="3"/>
      <c r="G1346" s="3"/>
      <c r="H1346" s="3"/>
      <c r="I1346" s="5"/>
      <c r="J1346" s="3"/>
      <c r="K1346" s="3"/>
      <c r="L1346" s="3"/>
      <c r="M1346" s="3"/>
      <c r="N1346" s="16"/>
      <c r="O1346" s="3"/>
      <c r="P1346" s="3"/>
      <c r="Q1346" s="3"/>
      <c r="R1346" s="3"/>
      <c r="S1346" s="3"/>
      <c r="T1346" s="3"/>
      <c r="U1346" s="3"/>
      <c r="V1346" s="3"/>
    </row>
    <row r="1347" spans="1:22" ht="31.5" x14ac:dyDescent="0.5">
      <c r="A1347" s="3"/>
      <c r="B1347" s="3"/>
      <c r="C1347" s="3"/>
      <c r="D1347" s="3"/>
      <c r="E1347" s="3"/>
      <c r="F1347" s="3"/>
      <c r="G1347" s="3"/>
      <c r="H1347" s="3"/>
      <c r="I1347" s="5"/>
      <c r="J1347" s="3"/>
      <c r="K1347" s="3"/>
      <c r="L1347" s="3"/>
      <c r="M1347" s="3"/>
      <c r="N1347" s="16"/>
      <c r="O1347" s="3"/>
      <c r="P1347" s="3"/>
      <c r="Q1347" s="3"/>
      <c r="R1347" s="3"/>
      <c r="S1347" s="3"/>
      <c r="T1347" s="3"/>
      <c r="U1347" s="3"/>
      <c r="V1347" s="3"/>
    </row>
    <row r="1348" spans="1:22" ht="31.5" x14ac:dyDescent="0.5">
      <c r="A1348" s="3"/>
      <c r="B1348" s="3"/>
      <c r="C1348" s="3"/>
      <c r="D1348" s="3"/>
      <c r="E1348" s="3"/>
      <c r="F1348" s="3"/>
      <c r="G1348" s="3"/>
      <c r="H1348" s="3"/>
      <c r="I1348" s="5"/>
      <c r="J1348" s="3"/>
      <c r="K1348" s="3"/>
      <c r="L1348" s="3"/>
      <c r="M1348" s="3"/>
      <c r="N1348" s="16"/>
      <c r="O1348" s="3"/>
      <c r="P1348" s="3"/>
      <c r="Q1348" s="3"/>
      <c r="R1348" s="3"/>
      <c r="S1348" s="3"/>
      <c r="T1348" s="3"/>
      <c r="U1348" s="3"/>
      <c r="V1348" s="3"/>
    </row>
    <row r="1349" spans="1:22" ht="31.5" x14ac:dyDescent="0.5">
      <c r="A1349" s="3"/>
      <c r="B1349" s="3"/>
      <c r="C1349" s="3"/>
      <c r="D1349" s="3"/>
      <c r="E1349" s="3"/>
      <c r="F1349" s="3"/>
      <c r="G1349" s="3"/>
      <c r="H1349" s="3"/>
      <c r="I1349" s="5"/>
      <c r="J1349" s="3"/>
      <c r="K1349" s="3"/>
      <c r="L1349" s="3"/>
      <c r="M1349" s="3"/>
      <c r="N1349" s="16"/>
      <c r="O1349" s="3"/>
      <c r="P1349" s="3"/>
      <c r="Q1349" s="3"/>
      <c r="R1349" s="3"/>
      <c r="S1349" s="3"/>
      <c r="T1349" s="3"/>
      <c r="U1349" s="3"/>
      <c r="V1349" s="3"/>
    </row>
    <row r="1350" spans="1:22" ht="31.5" x14ac:dyDescent="0.5">
      <c r="A1350" s="3"/>
      <c r="B1350" s="3"/>
      <c r="C1350" s="3"/>
      <c r="D1350" s="3"/>
      <c r="E1350" s="3"/>
      <c r="F1350" s="3"/>
      <c r="G1350" s="3"/>
      <c r="H1350" s="3"/>
      <c r="I1350" s="5"/>
      <c r="J1350" s="3"/>
      <c r="K1350" s="3"/>
      <c r="L1350" s="3"/>
      <c r="M1350" s="3"/>
      <c r="N1350" s="16"/>
      <c r="O1350" s="3"/>
      <c r="P1350" s="3"/>
      <c r="Q1350" s="3"/>
      <c r="R1350" s="3"/>
      <c r="S1350" s="3"/>
      <c r="T1350" s="3"/>
      <c r="U1350" s="3"/>
      <c r="V1350" s="3"/>
    </row>
    <row r="1351" spans="1:22" ht="31.5" x14ac:dyDescent="0.5">
      <c r="A1351" s="3"/>
      <c r="B1351" s="3"/>
      <c r="C1351" s="3"/>
      <c r="D1351" s="3"/>
      <c r="E1351" s="3"/>
      <c r="F1351" s="3"/>
      <c r="G1351" s="3"/>
      <c r="H1351" s="3"/>
      <c r="I1351" s="5"/>
      <c r="J1351" s="3"/>
      <c r="K1351" s="3"/>
      <c r="L1351" s="3"/>
      <c r="M1351" s="3"/>
      <c r="N1351" s="16"/>
      <c r="O1351" s="3"/>
      <c r="P1351" s="3"/>
      <c r="Q1351" s="3"/>
      <c r="R1351" s="3"/>
      <c r="S1351" s="3"/>
      <c r="T1351" s="3"/>
      <c r="U1351" s="3"/>
      <c r="V1351" s="3"/>
    </row>
    <row r="1352" spans="1:22" ht="31.5" x14ac:dyDescent="0.5">
      <c r="A1352" s="3"/>
      <c r="B1352" s="3"/>
      <c r="C1352" s="3"/>
      <c r="D1352" s="3"/>
      <c r="E1352" s="3"/>
      <c r="F1352" s="3"/>
      <c r="G1352" s="3"/>
      <c r="H1352" s="3"/>
      <c r="I1352" s="5"/>
      <c r="J1352" s="3"/>
      <c r="K1352" s="3"/>
      <c r="L1352" s="3"/>
      <c r="M1352" s="3"/>
      <c r="N1352" s="16"/>
      <c r="O1352" s="3"/>
      <c r="P1352" s="3"/>
      <c r="Q1352" s="3"/>
      <c r="R1352" s="3"/>
      <c r="S1352" s="3"/>
      <c r="T1352" s="3"/>
      <c r="U1352" s="3"/>
      <c r="V1352" s="3"/>
    </row>
    <row r="1353" spans="1:22" ht="31.5" x14ac:dyDescent="0.5">
      <c r="A1353" s="3"/>
      <c r="B1353" s="3"/>
      <c r="C1353" s="3"/>
      <c r="D1353" s="3"/>
      <c r="E1353" s="3"/>
      <c r="F1353" s="3"/>
      <c r="G1353" s="3"/>
      <c r="H1353" s="3"/>
      <c r="I1353" s="5"/>
      <c r="J1353" s="3"/>
      <c r="K1353" s="3"/>
      <c r="L1353" s="3"/>
      <c r="M1353" s="3"/>
      <c r="N1353" s="16"/>
      <c r="O1353" s="3"/>
      <c r="P1353" s="3"/>
      <c r="Q1353" s="3"/>
      <c r="R1353" s="3"/>
      <c r="S1353" s="3"/>
      <c r="T1353" s="3"/>
      <c r="U1353" s="3"/>
      <c r="V1353" s="3"/>
    </row>
    <row r="1354" spans="1:22" ht="31.5" x14ac:dyDescent="0.5">
      <c r="A1354" s="3"/>
      <c r="B1354" s="3"/>
      <c r="C1354" s="3"/>
      <c r="D1354" s="3"/>
      <c r="E1354" s="3"/>
      <c r="F1354" s="3"/>
      <c r="G1354" s="3"/>
      <c r="H1354" s="3"/>
      <c r="I1354" s="5"/>
      <c r="J1354" s="3"/>
      <c r="K1354" s="3"/>
      <c r="L1354" s="3"/>
      <c r="M1354" s="3"/>
      <c r="N1354" s="16"/>
      <c r="O1354" s="3"/>
      <c r="P1354" s="3"/>
      <c r="Q1354" s="3"/>
      <c r="R1354" s="3"/>
      <c r="S1354" s="3"/>
      <c r="T1354" s="3"/>
      <c r="U1354" s="3"/>
      <c r="V1354" s="3"/>
    </row>
    <row r="1355" spans="1:22" ht="31.5" x14ac:dyDescent="0.5">
      <c r="A1355" s="3"/>
      <c r="B1355" s="3"/>
      <c r="C1355" s="3"/>
      <c r="D1355" s="3"/>
      <c r="E1355" s="3"/>
      <c r="F1355" s="3"/>
      <c r="G1355" s="3"/>
      <c r="H1355" s="3"/>
      <c r="I1355" s="5"/>
      <c r="J1355" s="3"/>
      <c r="K1355" s="3"/>
      <c r="L1355" s="3"/>
      <c r="M1355" s="3"/>
      <c r="N1355" s="16"/>
      <c r="O1355" s="3"/>
      <c r="P1355" s="3"/>
      <c r="Q1355" s="3"/>
      <c r="R1355" s="3"/>
      <c r="S1355" s="3"/>
      <c r="T1355" s="3"/>
      <c r="U1355" s="3"/>
      <c r="V1355" s="3"/>
    </row>
    <row r="1356" spans="1:22" ht="31.5" x14ac:dyDescent="0.5">
      <c r="A1356" s="3"/>
      <c r="B1356" s="3"/>
      <c r="C1356" s="3"/>
      <c r="D1356" s="3"/>
      <c r="E1356" s="3"/>
      <c r="F1356" s="3"/>
      <c r="G1356" s="3"/>
      <c r="H1356" s="3"/>
      <c r="I1356" s="5"/>
      <c r="J1356" s="3"/>
      <c r="K1356" s="3"/>
      <c r="L1356" s="3"/>
      <c r="M1356" s="3"/>
      <c r="N1356" s="16"/>
      <c r="O1356" s="3"/>
      <c r="P1356" s="3"/>
      <c r="Q1356" s="3"/>
      <c r="R1356" s="3"/>
      <c r="S1356" s="3"/>
      <c r="T1356" s="3"/>
      <c r="U1356" s="3"/>
      <c r="V1356" s="3"/>
    </row>
    <row r="1357" spans="1:22" ht="31.5" x14ac:dyDescent="0.5">
      <c r="A1357" s="3"/>
      <c r="B1357" s="3"/>
      <c r="C1357" s="3"/>
      <c r="D1357" s="3"/>
      <c r="E1357" s="3"/>
      <c r="F1357" s="3"/>
      <c r="G1357" s="3"/>
      <c r="H1357" s="3"/>
      <c r="I1357" s="5"/>
      <c r="J1357" s="3"/>
      <c r="K1357" s="3"/>
      <c r="L1357" s="3"/>
      <c r="M1357" s="3"/>
      <c r="N1357" s="16"/>
      <c r="O1357" s="3"/>
      <c r="P1357" s="3"/>
      <c r="Q1357" s="3"/>
      <c r="R1357" s="3"/>
      <c r="S1357" s="3"/>
      <c r="T1357" s="3"/>
      <c r="U1357" s="3"/>
      <c r="V1357" s="3"/>
    </row>
    <row r="1358" spans="1:22" ht="31.5" x14ac:dyDescent="0.5">
      <c r="A1358" s="3"/>
      <c r="B1358" s="3"/>
      <c r="C1358" s="3"/>
      <c r="D1358" s="3"/>
      <c r="E1358" s="3"/>
      <c r="F1358" s="3"/>
      <c r="G1358" s="3"/>
      <c r="H1358" s="3"/>
      <c r="I1358" s="5"/>
      <c r="J1358" s="3"/>
      <c r="K1358" s="3"/>
      <c r="L1358" s="3"/>
      <c r="M1358" s="3"/>
      <c r="N1358" s="16"/>
      <c r="O1358" s="3"/>
      <c r="P1358" s="3"/>
      <c r="Q1358" s="3"/>
      <c r="R1358" s="3"/>
      <c r="S1358" s="3"/>
      <c r="T1358" s="3"/>
      <c r="U1358" s="3"/>
      <c r="V1358" s="3"/>
    </row>
    <row r="1359" spans="1:22" ht="31.5" x14ac:dyDescent="0.5">
      <c r="A1359" s="3"/>
      <c r="B1359" s="3"/>
      <c r="C1359" s="3"/>
      <c r="D1359" s="3"/>
      <c r="E1359" s="3"/>
      <c r="F1359" s="3"/>
      <c r="G1359" s="3"/>
      <c r="H1359" s="3"/>
      <c r="I1359" s="5"/>
      <c r="J1359" s="3"/>
      <c r="K1359" s="3"/>
      <c r="L1359" s="3"/>
      <c r="M1359" s="3"/>
      <c r="N1359" s="16"/>
      <c r="O1359" s="3"/>
      <c r="P1359" s="3"/>
      <c r="Q1359" s="3"/>
      <c r="R1359" s="3"/>
      <c r="S1359" s="3"/>
      <c r="T1359" s="3"/>
      <c r="U1359" s="3"/>
      <c r="V1359" s="3"/>
    </row>
    <row r="1360" spans="1:22" ht="31.5" x14ac:dyDescent="0.5">
      <c r="A1360" s="3"/>
      <c r="B1360" s="3"/>
      <c r="C1360" s="3"/>
      <c r="D1360" s="3"/>
      <c r="E1360" s="3"/>
      <c r="F1360" s="3"/>
      <c r="G1360" s="3"/>
      <c r="H1360" s="3"/>
      <c r="I1360" s="5"/>
      <c r="J1360" s="3"/>
      <c r="K1360" s="3"/>
      <c r="L1360" s="3"/>
      <c r="M1360" s="3"/>
      <c r="N1360" s="16"/>
      <c r="O1360" s="3"/>
      <c r="P1360" s="3"/>
      <c r="Q1360" s="3"/>
      <c r="R1360" s="3"/>
      <c r="S1360" s="3"/>
      <c r="T1360" s="3"/>
      <c r="U1360" s="3"/>
      <c r="V1360" s="3"/>
    </row>
    <row r="1361" spans="1:22" ht="31.5" x14ac:dyDescent="0.5">
      <c r="A1361" s="3"/>
      <c r="B1361" s="3"/>
      <c r="C1361" s="3"/>
      <c r="D1361" s="3"/>
      <c r="E1361" s="3"/>
      <c r="F1361" s="3"/>
      <c r="G1361" s="3"/>
      <c r="H1361" s="3"/>
      <c r="I1361" s="5"/>
      <c r="J1361" s="3"/>
      <c r="K1361" s="3"/>
      <c r="L1361" s="3"/>
      <c r="M1361" s="3"/>
      <c r="N1361" s="16"/>
      <c r="O1361" s="3"/>
      <c r="P1361" s="3"/>
      <c r="Q1361" s="3"/>
      <c r="R1361" s="3"/>
      <c r="S1361" s="3"/>
      <c r="T1361" s="3"/>
      <c r="U1361" s="3"/>
      <c r="V1361" s="3"/>
    </row>
    <row r="1362" spans="1:22" ht="31.5" x14ac:dyDescent="0.5">
      <c r="A1362" s="3"/>
      <c r="B1362" s="3"/>
      <c r="C1362" s="3"/>
      <c r="D1362" s="3"/>
      <c r="E1362" s="3"/>
      <c r="F1362" s="3"/>
      <c r="G1362" s="3"/>
      <c r="H1362" s="3"/>
      <c r="I1362" s="5"/>
      <c r="J1362" s="3"/>
      <c r="K1362" s="3"/>
      <c r="L1362" s="3"/>
      <c r="M1362" s="3"/>
      <c r="N1362" s="16"/>
      <c r="O1362" s="3"/>
      <c r="P1362" s="3"/>
      <c r="Q1362" s="3"/>
      <c r="R1362" s="3"/>
      <c r="S1362" s="3"/>
      <c r="T1362" s="3"/>
      <c r="U1362" s="3"/>
      <c r="V1362" s="3"/>
    </row>
    <row r="1363" spans="1:22" ht="31.5" x14ac:dyDescent="0.5">
      <c r="A1363" s="3"/>
      <c r="B1363" s="3"/>
      <c r="C1363" s="3"/>
      <c r="D1363" s="3"/>
      <c r="E1363" s="3"/>
      <c r="F1363" s="3"/>
      <c r="G1363" s="3"/>
      <c r="H1363" s="3"/>
      <c r="I1363" s="5"/>
      <c r="J1363" s="3"/>
      <c r="K1363" s="3"/>
      <c r="L1363" s="3"/>
      <c r="M1363" s="3"/>
      <c r="N1363" s="16"/>
      <c r="O1363" s="3"/>
      <c r="P1363" s="3"/>
      <c r="Q1363" s="3"/>
      <c r="R1363" s="3"/>
      <c r="S1363" s="3"/>
      <c r="T1363" s="3"/>
      <c r="U1363" s="3"/>
      <c r="V1363" s="3"/>
    </row>
    <row r="1364" spans="1:22" ht="31.5" x14ac:dyDescent="0.5">
      <c r="A1364" s="3"/>
      <c r="B1364" s="3"/>
      <c r="C1364" s="3"/>
      <c r="D1364" s="3"/>
      <c r="E1364" s="3"/>
      <c r="F1364" s="3"/>
      <c r="G1364" s="3"/>
      <c r="H1364" s="3"/>
      <c r="I1364" s="5"/>
      <c r="J1364" s="3"/>
      <c r="K1364" s="3"/>
      <c r="L1364" s="3"/>
      <c r="M1364" s="3"/>
      <c r="N1364" s="16"/>
      <c r="O1364" s="3"/>
      <c r="P1364" s="3"/>
      <c r="Q1364" s="3"/>
      <c r="R1364" s="3"/>
      <c r="S1364" s="3"/>
      <c r="T1364" s="3"/>
      <c r="U1364" s="3"/>
      <c r="V1364" s="3"/>
    </row>
    <row r="1365" spans="1:22" ht="31.5" x14ac:dyDescent="0.5">
      <c r="A1365" s="3"/>
      <c r="B1365" s="3"/>
      <c r="C1365" s="3"/>
      <c r="D1365" s="3"/>
      <c r="E1365" s="3"/>
      <c r="F1365" s="3"/>
      <c r="G1365" s="3"/>
      <c r="H1365" s="3"/>
      <c r="I1365" s="5"/>
      <c r="J1365" s="3"/>
      <c r="K1365" s="3"/>
      <c r="L1365" s="3"/>
      <c r="M1365" s="3"/>
      <c r="N1365" s="16"/>
      <c r="O1365" s="3"/>
      <c r="P1365" s="3"/>
      <c r="Q1365" s="3"/>
      <c r="R1365" s="3"/>
      <c r="S1365" s="3"/>
      <c r="T1365" s="3"/>
      <c r="U1365" s="3"/>
      <c r="V1365" s="3"/>
    </row>
    <row r="1366" spans="1:22" ht="31.5" x14ac:dyDescent="0.5">
      <c r="A1366" s="3"/>
      <c r="B1366" s="3"/>
      <c r="C1366" s="3"/>
      <c r="D1366" s="3"/>
      <c r="E1366" s="3"/>
      <c r="F1366" s="3"/>
      <c r="G1366" s="3"/>
      <c r="H1366" s="3"/>
      <c r="I1366" s="5"/>
      <c r="J1366" s="3"/>
      <c r="K1366" s="3"/>
      <c r="L1366" s="3"/>
      <c r="M1366" s="3"/>
      <c r="N1366" s="16"/>
      <c r="O1366" s="3"/>
      <c r="P1366" s="3"/>
      <c r="Q1366" s="3"/>
      <c r="R1366" s="3"/>
      <c r="S1366" s="3"/>
      <c r="T1366" s="3"/>
      <c r="U1366" s="3"/>
      <c r="V1366" s="3"/>
    </row>
    <row r="1367" spans="1:22" ht="31.5" x14ac:dyDescent="0.5">
      <c r="A1367" s="3"/>
      <c r="B1367" s="3"/>
      <c r="C1367" s="3"/>
      <c r="D1367" s="3"/>
      <c r="E1367" s="3"/>
      <c r="F1367" s="3"/>
      <c r="G1367" s="3"/>
      <c r="H1367" s="3"/>
      <c r="I1367" s="5"/>
      <c r="J1367" s="3"/>
      <c r="K1367" s="3"/>
      <c r="L1367" s="3"/>
      <c r="M1367" s="3"/>
      <c r="N1367" s="16"/>
      <c r="O1367" s="3"/>
      <c r="P1367" s="3"/>
      <c r="Q1367" s="3"/>
      <c r="R1367" s="3"/>
      <c r="S1367" s="3"/>
      <c r="T1367" s="3"/>
      <c r="U1367" s="3"/>
      <c r="V1367" s="3"/>
    </row>
    <row r="1368" spans="1:22" ht="31.5" x14ac:dyDescent="0.5">
      <c r="A1368" s="3"/>
      <c r="B1368" s="3"/>
      <c r="C1368" s="3"/>
      <c r="D1368" s="3"/>
      <c r="E1368" s="3"/>
      <c r="F1368" s="3"/>
      <c r="G1368" s="3"/>
      <c r="H1368" s="3"/>
      <c r="I1368" s="5"/>
      <c r="J1368" s="3"/>
      <c r="K1368" s="3"/>
      <c r="L1368" s="3"/>
      <c r="M1368" s="3"/>
      <c r="N1368" s="16"/>
      <c r="O1368" s="3"/>
      <c r="P1368" s="3"/>
      <c r="Q1368" s="3"/>
      <c r="R1368" s="3"/>
      <c r="S1368" s="3"/>
      <c r="T1368" s="3"/>
      <c r="U1368" s="3"/>
      <c r="V1368" s="3"/>
    </row>
    <row r="1369" spans="1:22" ht="31.5" x14ac:dyDescent="0.5">
      <c r="A1369" s="3"/>
      <c r="B1369" s="3"/>
      <c r="C1369" s="3"/>
      <c r="D1369" s="3"/>
      <c r="E1369" s="3"/>
      <c r="F1369" s="3"/>
      <c r="G1369" s="3"/>
      <c r="H1369" s="3"/>
      <c r="I1369" s="5"/>
      <c r="J1369" s="3"/>
      <c r="K1369" s="3"/>
      <c r="L1369" s="3"/>
      <c r="M1369" s="3"/>
      <c r="N1369" s="16"/>
      <c r="O1369" s="3"/>
      <c r="P1369" s="3"/>
      <c r="Q1369" s="3"/>
      <c r="R1369" s="3"/>
      <c r="S1369" s="3"/>
      <c r="T1369" s="3"/>
      <c r="U1369" s="3"/>
      <c r="V1369" s="3"/>
    </row>
    <row r="1370" spans="1:22" ht="31.5" x14ac:dyDescent="0.5">
      <c r="A1370" s="3"/>
      <c r="B1370" s="3"/>
      <c r="C1370" s="3"/>
      <c r="D1370" s="3"/>
      <c r="E1370" s="3"/>
      <c r="F1370" s="3"/>
      <c r="G1370" s="3"/>
      <c r="H1370" s="3"/>
      <c r="I1370" s="5"/>
      <c r="J1370" s="3"/>
      <c r="K1370" s="3"/>
      <c r="L1370" s="3"/>
      <c r="M1370" s="3"/>
      <c r="N1370" s="16"/>
      <c r="O1370" s="3"/>
      <c r="P1370" s="3"/>
      <c r="Q1370" s="3"/>
      <c r="R1370" s="3"/>
      <c r="S1370" s="3"/>
      <c r="T1370" s="3"/>
      <c r="U1370" s="3"/>
      <c r="V1370" s="3"/>
    </row>
    <row r="1371" spans="1:22" ht="31.5" x14ac:dyDescent="0.5">
      <c r="A1371" s="3"/>
      <c r="B1371" s="3"/>
      <c r="C1371" s="3"/>
      <c r="D1371" s="3"/>
      <c r="E1371" s="3"/>
      <c r="F1371" s="3"/>
      <c r="G1371" s="3"/>
      <c r="H1371" s="3"/>
      <c r="I1371" s="5"/>
      <c r="J1371" s="3"/>
      <c r="K1371" s="3"/>
      <c r="L1371" s="3"/>
      <c r="M1371" s="3"/>
      <c r="N1371" s="16"/>
      <c r="O1371" s="3"/>
      <c r="P1371" s="3"/>
      <c r="Q1371" s="3"/>
      <c r="R1371" s="3"/>
      <c r="S1371" s="3"/>
      <c r="T1371" s="3"/>
      <c r="U1371" s="3"/>
      <c r="V1371" s="3"/>
    </row>
    <row r="1372" spans="1:22" ht="31.5" x14ac:dyDescent="0.5">
      <c r="A1372" s="3"/>
      <c r="B1372" s="3"/>
      <c r="C1372" s="3"/>
      <c r="D1372" s="3"/>
      <c r="E1372" s="3"/>
      <c r="F1372" s="3"/>
      <c r="G1372" s="3"/>
      <c r="H1372" s="3"/>
      <c r="I1372" s="5"/>
      <c r="J1372" s="3"/>
      <c r="K1372" s="3"/>
      <c r="L1372" s="3"/>
      <c r="M1372" s="3"/>
      <c r="N1372" s="16"/>
      <c r="O1372" s="3"/>
      <c r="P1372" s="3"/>
      <c r="Q1372" s="3"/>
      <c r="R1372" s="3"/>
      <c r="S1372" s="3"/>
      <c r="T1372" s="3"/>
      <c r="U1372" s="3"/>
      <c r="V1372" s="3"/>
    </row>
    <row r="1373" spans="1:22" ht="31.5" x14ac:dyDescent="0.5">
      <c r="A1373" s="3"/>
      <c r="B1373" s="3"/>
      <c r="C1373" s="3"/>
      <c r="D1373" s="3"/>
      <c r="E1373" s="3"/>
      <c r="F1373" s="3"/>
      <c r="G1373" s="3"/>
      <c r="H1373" s="3"/>
      <c r="I1373" s="5"/>
      <c r="J1373" s="3"/>
      <c r="K1373" s="3"/>
      <c r="L1373" s="3"/>
      <c r="M1373" s="3"/>
      <c r="N1373" s="16"/>
      <c r="O1373" s="3"/>
      <c r="P1373" s="3"/>
      <c r="Q1373" s="3"/>
      <c r="R1373" s="3"/>
      <c r="S1373" s="3"/>
      <c r="T1373" s="3"/>
      <c r="U1373" s="3"/>
      <c r="V1373" s="3"/>
    </row>
    <row r="1374" spans="1:22" ht="31.5" x14ac:dyDescent="0.5">
      <c r="A1374" s="3"/>
      <c r="B1374" s="3"/>
      <c r="C1374" s="3"/>
      <c r="D1374" s="3"/>
      <c r="E1374" s="3"/>
      <c r="F1374" s="3"/>
      <c r="G1374" s="3"/>
      <c r="H1374" s="3"/>
      <c r="I1374" s="5"/>
      <c r="J1374" s="3"/>
      <c r="K1374" s="3"/>
      <c r="L1374" s="3"/>
      <c r="M1374" s="3"/>
      <c r="N1374" s="16"/>
      <c r="O1374" s="3"/>
      <c r="P1374" s="3"/>
      <c r="Q1374" s="3"/>
      <c r="R1374" s="3"/>
      <c r="S1374" s="3"/>
      <c r="T1374" s="3"/>
      <c r="U1374" s="3"/>
      <c r="V1374" s="3"/>
    </row>
    <row r="1375" spans="1:22" ht="31.5" x14ac:dyDescent="0.5">
      <c r="A1375" s="3"/>
      <c r="B1375" s="3"/>
      <c r="C1375" s="3"/>
      <c r="D1375" s="3"/>
      <c r="E1375" s="3"/>
      <c r="F1375" s="3"/>
      <c r="G1375" s="3"/>
      <c r="H1375" s="3"/>
      <c r="I1375" s="5"/>
      <c r="J1375" s="3"/>
      <c r="K1375" s="3"/>
      <c r="L1375" s="3"/>
      <c r="M1375" s="3"/>
      <c r="N1375" s="16"/>
      <c r="O1375" s="3"/>
      <c r="P1375" s="3"/>
      <c r="Q1375" s="3"/>
      <c r="R1375" s="3"/>
      <c r="S1375" s="3"/>
      <c r="T1375" s="3"/>
      <c r="U1375" s="3"/>
      <c r="V1375" s="3"/>
    </row>
    <row r="1376" spans="1:22" ht="31.5" x14ac:dyDescent="0.5">
      <c r="A1376" s="3"/>
      <c r="B1376" s="3"/>
      <c r="C1376" s="3"/>
      <c r="D1376" s="3"/>
      <c r="E1376" s="3"/>
      <c r="F1376" s="3"/>
      <c r="G1376" s="3"/>
      <c r="H1376" s="3"/>
      <c r="I1376" s="5"/>
      <c r="J1376" s="3"/>
      <c r="K1376" s="3"/>
      <c r="L1376" s="3"/>
      <c r="M1376" s="3"/>
      <c r="N1376" s="16"/>
      <c r="O1376" s="3"/>
      <c r="P1376" s="3"/>
      <c r="Q1376" s="3"/>
      <c r="R1376" s="3"/>
      <c r="S1376" s="3"/>
      <c r="T1376" s="3"/>
      <c r="U1376" s="3"/>
      <c r="V1376" s="3"/>
    </row>
    <row r="1377" spans="1:22" ht="31.5" x14ac:dyDescent="0.5">
      <c r="A1377" s="3"/>
      <c r="B1377" s="3"/>
      <c r="C1377" s="3"/>
      <c r="D1377" s="3"/>
      <c r="E1377" s="3"/>
      <c r="F1377" s="3"/>
      <c r="G1377" s="3"/>
      <c r="H1377" s="3"/>
      <c r="I1377" s="5"/>
      <c r="J1377" s="3"/>
      <c r="K1377" s="3"/>
      <c r="L1377" s="3"/>
      <c r="M1377" s="3"/>
      <c r="N1377" s="16"/>
      <c r="O1377" s="3"/>
      <c r="P1377" s="3"/>
      <c r="Q1377" s="3"/>
      <c r="R1377" s="3"/>
      <c r="S1377" s="3"/>
      <c r="T1377" s="3"/>
      <c r="U1377" s="3"/>
      <c r="V1377" s="3"/>
    </row>
    <row r="1378" spans="1:22" ht="31.5" x14ac:dyDescent="0.5">
      <c r="A1378" s="3"/>
      <c r="B1378" s="3"/>
      <c r="C1378" s="3"/>
      <c r="D1378" s="3"/>
      <c r="E1378" s="3"/>
      <c r="F1378" s="3"/>
      <c r="G1378" s="3"/>
      <c r="H1378" s="3"/>
      <c r="I1378" s="5"/>
      <c r="J1378" s="3"/>
      <c r="K1378" s="3"/>
      <c r="L1378" s="3"/>
      <c r="M1378" s="3"/>
      <c r="N1378" s="16"/>
      <c r="O1378" s="3"/>
      <c r="P1378" s="3"/>
      <c r="Q1378" s="3"/>
      <c r="R1378" s="3"/>
      <c r="S1378" s="3"/>
      <c r="T1378" s="3"/>
      <c r="U1378" s="3"/>
      <c r="V1378" s="3"/>
    </row>
    <row r="1379" spans="1:22" ht="31.5" x14ac:dyDescent="0.5">
      <c r="A1379" s="3"/>
      <c r="B1379" s="3"/>
      <c r="C1379" s="3"/>
      <c r="D1379" s="3"/>
      <c r="E1379" s="3"/>
      <c r="F1379" s="3"/>
      <c r="G1379" s="3"/>
      <c r="H1379" s="3"/>
      <c r="I1379" s="5"/>
      <c r="J1379" s="3"/>
      <c r="K1379" s="3"/>
      <c r="L1379" s="3"/>
      <c r="M1379" s="3"/>
      <c r="N1379" s="16"/>
      <c r="O1379" s="3"/>
      <c r="P1379" s="3"/>
      <c r="Q1379" s="3"/>
      <c r="R1379" s="3"/>
      <c r="S1379" s="3"/>
      <c r="T1379" s="3"/>
      <c r="U1379" s="3"/>
      <c r="V1379" s="3"/>
    </row>
    <row r="1380" spans="1:22" ht="31.5" x14ac:dyDescent="0.5">
      <c r="A1380" s="3"/>
      <c r="B1380" s="3"/>
      <c r="C1380" s="3"/>
      <c r="D1380" s="3"/>
      <c r="E1380" s="3"/>
      <c r="F1380" s="3"/>
      <c r="G1380" s="3"/>
      <c r="H1380" s="3"/>
      <c r="I1380" s="5"/>
      <c r="J1380" s="3"/>
      <c r="K1380" s="3"/>
      <c r="L1380" s="3"/>
      <c r="M1380" s="3"/>
      <c r="N1380" s="16"/>
      <c r="O1380" s="3"/>
      <c r="P1380" s="3"/>
      <c r="Q1380" s="3"/>
      <c r="R1380" s="3"/>
      <c r="S1380" s="3"/>
      <c r="T1380" s="3"/>
      <c r="U1380" s="3"/>
      <c r="V1380" s="3"/>
    </row>
    <row r="1381" spans="1:22" ht="31.5" x14ac:dyDescent="0.5">
      <c r="A1381" s="3"/>
      <c r="B1381" s="3"/>
      <c r="C1381" s="3"/>
      <c r="D1381" s="3"/>
      <c r="E1381" s="3"/>
      <c r="F1381" s="3"/>
      <c r="G1381" s="3"/>
      <c r="H1381" s="3"/>
      <c r="I1381" s="5"/>
      <c r="J1381" s="3"/>
      <c r="K1381" s="3"/>
      <c r="L1381" s="3"/>
      <c r="M1381" s="3"/>
      <c r="N1381" s="16"/>
      <c r="O1381" s="3"/>
      <c r="P1381" s="3"/>
      <c r="Q1381" s="3"/>
      <c r="R1381" s="3"/>
      <c r="S1381" s="3"/>
      <c r="T1381" s="3"/>
      <c r="U1381" s="3"/>
      <c r="V1381" s="3"/>
    </row>
    <row r="1382" spans="1:22" ht="31.5" x14ac:dyDescent="0.5">
      <c r="A1382" s="3"/>
      <c r="B1382" s="3"/>
      <c r="C1382" s="3"/>
      <c r="D1382" s="3"/>
      <c r="E1382" s="3"/>
      <c r="F1382" s="3"/>
      <c r="G1382" s="3"/>
      <c r="H1382" s="3"/>
      <c r="I1382" s="5"/>
      <c r="J1382" s="3"/>
      <c r="K1382" s="3"/>
      <c r="L1382" s="3"/>
      <c r="M1382" s="3"/>
      <c r="N1382" s="16"/>
      <c r="O1382" s="3"/>
      <c r="P1382" s="3"/>
      <c r="Q1382" s="3"/>
      <c r="R1382" s="3"/>
      <c r="S1382" s="3"/>
      <c r="T1382" s="3"/>
      <c r="U1382" s="3"/>
      <c r="V1382" s="3"/>
    </row>
    <row r="1383" spans="1:22" ht="31.5" x14ac:dyDescent="0.5">
      <c r="A1383" s="3"/>
      <c r="B1383" s="3"/>
      <c r="C1383" s="3"/>
      <c r="D1383" s="3"/>
      <c r="E1383" s="3"/>
      <c r="F1383" s="3"/>
      <c r="G1383" s="3"/>
      <c r="H1383" s="3"/>
      <c r="I1383" s="5"/>
      <c r="J1383" s="3"/>
      <c r="K1383" s="3"/>
      <c r="L1383" s="3"/>
      <c r="M1383" s="3"/>
      <c r="N1383" s="16"/>
      <c r="O1383" s="3"/>
      <c r="P1383" s="3"/>
      <c r="Q1383" s="3"/>
      <c r="R1383" s="3"/>
      <c r="S1383" s="3"/>
      <c r="T1383" s="3"/>
      <c r="U1383" s="3"/>
      <c r="V1383" s="3"/>
    </row>
    <row r="1384" spans="1:22" ht="31.5" x14ac:dyDescent="0.5">
      <c r="A1384" s="3"/>
      <c r="B1384" s="3"/>
      <c r="C1384" s="3"/>
      <c r="D1384" s="3"/>
      <c r="E1384" s="3"/>
      <c r="F1384" s="3"/>
      <c r="G1384" s="3"/>
      <c r="H1384" s="3"/>
      <c r="I1384" s="5"/>
      <c r="J1384" s="3"/>
      <c r="K1384" s="3"/>
      <c r="L1384" s="3"/>
      <c r="M1384" s="3"/>
      <c r="N1384" s="16"/>
      <c r="O1384" s="3"/>
      <c r="P1384" s="3"/>
      <c r="Q1384" s="3"/>
      <c r="R1384" s="3"/>
      <c r="S1384" s="3"/>
      <c r="T1384" s="3"/>
      <c r="U1384" s="3"/>
      <c r="V1384" s="3"/>
    </row>
    <row r="1385" spans="1:22" ht="31.5" x14ac:dyDescent="0.5">
      <c r="A1385" s="3"/>
      <c r="B1385" s="3"/>
      <c r="C1385" s="3"/>
      <c r="D1385" s="3"/>
      <c r="E1385" s="3"/>
      <c r="F1385" s="3"/>
      <c r="G1385" s="3"/>
      <c r="H1385" s="3"/>
      <c r="I1385" s="5"/>
      <c r="J1385" s="3"/>
      <c r="K1385" s="3"/>
      <c r="L1385" s="3"/>
      <c r="M1385" s="3"/>
      <c r="N1385" s="16"/>
      <c r="O1385" s="3"/>
      <c r="P1385" s="3"/>
      <c r="Q1385" s="3"/>
      <c r="R1385" s="3"/>
      <c r="S1385" s="3"/>
      <c r="T1385" s="3"/>
      <c r="U1385" s="3"/>
      <c r="V1385" s="3"/>
    </row>
    <row r="1386" spans="1:22" ht="31.5" x14ac:dyDescent="0.5">
      <c r="A1386" s="3"/>
      <c r="B1386" s="3"/>
      <c r="C1386" s="3"/>
      <c r="D1386" s="3"/>
      <c r="E1386" s="3"/>
      <c r="F1386" s="3"/>
      <c r="G1386" s="3"/>
      <c r="H1386" s="3"/>
      <c r="I1386" s="5"/>
      <c r="J1386" s="3"/>
      <c r="K1386" s="3"/>
      <c r="L1386" s="3"/>
      <c r="M1386" s="3"/>
      <c r="N1386" s="16"/>
      <c r="O1386" s="3"/>
      <c r="P1386" s="3"/>
      <c r="Q1386" s="3"/>
      <c r="R1386" s="3"/>
      <c r="S1386" s="3"/>
      <c r="T1386" s="3"/>
      <c r="U1386" s="3"/>
      <c r="V1386" s="3"/>
    </row>
    <row r="1387" spans="1:22" ht="31.5" x14ac:dyDescent="0.5">
      <c r="A1387" s="3"/>
      <c r="B1387" s="3"/>
      <c r="C1387" s="3"/>
      <c r="D1387" s="3"/>
      <c r="E1387" s="3"/>
      <c r="F1387" s="3"/>
      <c r="G1387" s="3"/>
      <c r="H1387" s="3"/>
      <c r="I1387" s="5"/>
      <c r="J1387" s="3"/>
      <c r="K1387" s="3"/>
      <c r="L1387" s="3"/>
      <c r="M1387" s="3"/>
      <c r="N1387" s="16"/>
      <c r="O1387" s="3"/>
      <c r="P1387" s="3"/>
      <c r="Q1387" s="3"/>
      <c r="R1387" s="3"/>
      <c r="S1387" s="3"/>
      <c r="T1387" s="3"/>
      <c r="U1387" s="3"/>
      <c r="V1387" s="3"/>
    </row>
    <row r="1388" spans="1:22" ht="31.5" x14ac:dyDescent="0.5">
      <c r="A1388" s="3"/>
      <c r="B1388" s="3"/>
      <c r="C1388" s="3"/>
      <c r="D1388" s="3"/>
      <c r="E1388" s="3"/>
      <c r="F1388" s="3"/>
      <c r="G1388" s="3"/>
      <c r="H1388" s="3"/>
      <c r="I1388" s="5"/>
      <c r="J1388" s="3"/>
      <c r="K1388" s="3"/>
      <c r="L1388" s="3"/>
      <c r="M1388" s="3"/>
      <c r="N1388" s="16"/>
      <c r="O1388" s="3"/>
      <c r="P1388" s="3"/>
      <c r="Q1388" s="3"/>
      <c r="R1388" s="3"/>
      <c r="S1388" s="3"/>
      <c r="T1388" s="3"/>
      <c r="U1388" s="3"/>
      <c r="V1388" s="3"/>
    </row>
    <row r="1389" spans="1:22" ht="31.5" x14ac:dyDescent="0.5">
      <c r="A1389" s="3"/>
      <c r="B1389" s="3"/>
      <c r="C1389" s="3"/>
      <c r="D1389" s="3"/>
      <c r="E1389" s="3"/>
      <c r="F1389" s="3"/>
      <c r="G1389" s="3"/>
      <c r="H1389" s="3"/>
      <c r="I1389" s="5"/>
      <c r="J1389" s="3"/>
      <c r="K1389" s="3"/>
      <c r="L1389" s="3"/>
      <c r="M1389" s="3"/>
      <c r="N1389" s="16"/>
      <c r="O1389" s="3"/>
      <c r="P1389" s="3"/>
      <c r="Q1389" s="3"/>
      <c r="R1389" s="3"/>
      <c r="S1389" s="3"/>
      <c r="T1389" s="3"/>
      <c r="U1389" s="3"/>
      <c r="V1389" s="3"/>
    </row>
    <row r="1390" spans="1:22" ht="31.5" x14ac:dyDescent="0.5">
      <c r="A1390" s="3"/>
      <c r="B1390" s="3"/>
      <c r="C1390" s="3"/>
      <c r="D1390" s="3"/>
      <c r="E1390" s="3"/>
      <c r="F1390" s="3"/>
      <c r="G1390" s="3"/>
      <c r="H1390" s="3"/>
      <c r="I1390" s="5"/>
      <c r="J1390" s="3"/>
      <c r="K1390" s="3"/>
      <c r="L1390" s="3"/>
      <c r="M1390" s="3"/>
      <c r="N1390" s="16"/>
      <c r="O1390" s="3"/>
      <c r="P1390" s="3"/>
      <c r="Q1390" s="3"/>
      <c r="R1390" s="3"/>
      <c r="S1390" s="3"/>
      <c r="T1390" s="3"/>
      <c r="U1390" s="3"/>
      <c r="V1390" s="3"/>
    </row>
    <row r="1391" spans="1:22" ht="31.5" x14ac:dyDescent="0.5">
      <c r="A1391" s="3"/>
      <c r="B1391" s="3"/>
      <c r="C1391" s="3"/>
      <c r="D1391" s="3"/>
      <c r="E1391" s="3"/>
      <c r="F1391" s="3"/>
      <c r="G1391" s="3"/>
      <c r="H1391" s="3"/>
      <c r="I1391" s="5"/>
      <c r="J1391" s="3"/>
      <c r="K1391" s="3"/>
      <c r="L1391" s="3"/>
      <c r="M1391" s="3"/>
      <c r="N1391" s="16"/>
      <c r="O1391" s="3"/>
      <c r="P1391" s="3"/>
      <c r="Q1391" s="3"/>
      <c r="R1391" s="3"/>
      <c r="S1391" s="3"/>
      <c r="T1391" s="3"/>
      <c r="U1391" s="3"/>
      <c r="V1391" s="3"/>
    </row>
    <row r="1392" spans="1:22" ht="31.5" x14ac:dyDescent="0.5">
      <c r="A1392" s="3"/>
      <c r="B1392" s="3"/>
      <c r="C1392" s="3"/>
      <c r="D1392" s="3"/>
      <c r="E1392" s="3"/>
      <c r="F1392" s="3"/>
      <c r="G1392" s="3"/>
      <c r="H1392" s="3"/>
      <c r="I1392" s="5"/>
      <c r="J1392" s="3"/>
      <c r="K1392" s="3"/>
      <c r="L1392" s="3"/>
      <c r="M1392" s="3"/>
      <c r="N1392" s="16"/>
      <c r="O1392" s="3"/>
      <c r="P1392" s="3"/>
      <c r="Q1392" s="3"/>
      <c r="R1392" s="3"/>
      <c r="S1392" s="3"/>
      <c r="T1392" s="3"/>
      <c r="U1392" s="3"/>
      <c r="V1392" s="3"/>
    </row>
    <row r="1393" spans="1:22" ht="31.5" x14ac:dyDescent="0.5">
      <c r="A1393" s="3"/>
      <c r="B1393" s="3"/>
      <c r="C1393" s="3"/>
      <c r="D1393" s="3"/>
      <c r="E1393" s="3"/>
      <c r="F1393" s="3"/>
      <c r="G1393" s="3"/>
      <c r="H1393" s="3"/>
      <c r="I1393" s="5"/>
      <c r="J1393" s="3"/>
      <c r="K1393" s="3"/>
      <c r="L1393" s="3"/>
      <c r="M1393" s="3"/>
      <c r="N1393" s="16"/>
      <c r="O1393" s="3"/>
      <c r="P1393" s="3"/>
      <c r="Q1393" s="3"/>
      <c r="R1393" s="3"/>
      <c r="S1393" s="3"/>
      <c r="T1393" s="3"/>
      <c r="U1393" s="3"/>
      <c r="V1393" s="3"/>
    </row>
    <row r="1394" spans="1:22" ht="31.5" x14ac:dyDescent="0.5">
      <c r="A1394" s="3"/>
      <c r="B1394" s="3"/>
      <c r="C1394" s="3"/>
      <c r="D1394" s="3"/>
      <c r="E1394" s="3"/>
      <c r="F1394" s="3"/>
      <c r="G1394" s="3"/>
      <c r="H1394" s="3"/>
      <c r="I1394" s="5"/>
      <c r="J1394" s="3"/>
      <c r="K1394" s="3"/>
      <c r="L1394" s="3"/>
      <c r="M1394" s="3"/>
      <c r="N1394" s="16"/>
      <c r="O1394" s="3"/>
      <c r="P1394" s="3"/>
      <c r="Q1394" s="3"/>
      <c r="R1394" s="3"/>
      <c r="S1394" s="3"/>
      <c r="T1394" s="3"/>
      <c r="U1394" s="3"/>
      <c r="V1394" s="3"/>
    </row>
    <row r="1395" spans="1:22" ht="31.5" x14ac:dyDescent="0.5">
      <c r="A1395" s="3"/>
      <c r="B1395" s="3"/>
      <c r="C1395" s="3"/>
      <c r="D1395" s="3"/>
      <c r="E1395" s="3"/>
      <c r="F1395" s="3"/>
      <c r="G1395" s="3"/>
      <c r="H1395" s="3"/>
      <c r="I1395" s="5"/>
      <c r="J1395" s="3"/>
      <c r="K1395" s="3"/>
      <c r="L1395" s="3"/>
      <c r="M1395" s="3"/>
      <c r="N1395" s="16"/>
      <c r="O1395" s="3"/>
      <c r="P1395" s="3"/>
      <c r="Q1395" s="3"/>
      <c r="R1395" s="3"/>
      <c r="S1395" s="3"/>
      <c r="T1395" s="3"/>
      <c r="U1395" s="3"/>
      <c r="V1395" s="3"/>
    </row>
    <row r="1396" spans="1:22" ht="31.5" x14ac:dyDescent="0.5">
      <c r="A1396" s="3"/>
      <c r="B1396" s="3"/>
      <c r="C1396" s="3"/>
      <c r="D1396" s="3"/>
      <c r="E1396" s="3"/>
      <c r="F1396" s="3"/>
      <c r="G1396" s="3"/>
      <c r="H1396" s="3"/>
      <c r="I1396" s="5"/>
      <c r="J1396" s="3"/>
      <c r="K1396" s="3"/>
      <c r="L1396" s="3"/>
      <c r="M1396" s="3"/>
      <c r="N1396" s="16"/>
      <c r="O1396" s="3"/>
      <c r="P1396" s="3"/>
      <c r="Q1396" s="3"/>
      <c r="R1396" s="3"/>
      <c r="S1396" s="3"/>
      <c r="T1396" s="3"/>
      <c r="U1396" s="3"/>
      <c r="V1396" s="3"/>
    </row>
    <row r="1397" spans="1:22" ht="31.5" x14ac:dyDescent="0.5">
      <c r="A1397" s="3"/>
      <c r="B1397" s="3"/>
      <c r="C1397" s="3"/>
      <c r="D1397" s="3"/>
      <c r="E1397" s="3"/>
      <c r="F1397" s="3"/>
      <c r="G1397" s="3"/>
      <c r="H1397" s="3"/>
      <c r="I1397" s="5"/>
      <c r="J1397" s="3"/>
      <c r="K1397" s="3"/>
      <c r="L1397" s="3"/>
      <c r="M1397" s="3"/>
      <c r="N1397" s="16"/>
      <c r="O1397" s="3"/>
      <c r="P1397" s="3"/>
      <c r="Q1397" s="3"/>
      <c r="R1397" s="3"/>
      <c r="S1397" s="3"/>
      <c r="T1397" s="3"/>
      <c r="U1397" s="3"/>
      <c r="V1397" s="3"/>
    </row>
    <row r="1398" spans="1:22" ht="31.5" x14ac:dyDescent="0.5">
      <c r="A1398" s="3"/>
      <c r="B1398" s="3"/>
      <c r="C1398" s="3"/>
      <c r="D1398" s="3"/>
      <c r="E1398" s="3"/>
      <c r="F1398" s="3"/>
      <c r="G1398" s="3"/>
      <c r="H1398" s="3"/>
      <c r="I1398" s="5"/>
      <c r="J1398" s="3"/>
      <c r="K1398" s="3"/>
      <c r="L1398" s="3"/>
      <c r="M1398" s="3"/>
      <c r="N1398" s="16"/>
      <c r="O1398" s="3"/>
      <c r="P1398" s="3"/>
      <c r="Q1398" s="3"/>
      <c r="R1398" s="3"/>
      <c r="S1398" s="3"/>
      <c r="T1398" s="3"/>
      <c r="U1398" s="3"/>
      <c r="V1398" s="3"/>
    </row>
    <row r="1399" spans="1:22" ht="31.5" x14ac:dyDescent="0.5">
      <c r="A1399" s="3"/>
      <c r="B1399" s="3"/>
      <c r="C1399" s="3"/>
      <c r="D1399" s="3"/>
      <c r="E1399" s="3"/>
      <c r="F1399" s="3"/>
      <c r="G1399" s="3"/>
      <c r="H1399" s="3"/>
      <c r="I1399" s="5"/>
      <c r="J1399" s="3"/>
      <c r="K1399" s="3"/>
      <c r="L1399" s="3"/>
      <c r="M1399" s="3"/>
      <c r="N1399" s="16"/>
      <c r="O1399" s="3"/>
      <c r="P1399" s="3"/>
      <c r="Q1399" s="3"/>
      <c r="R1399" s="3"/>
      <c r="S1399" s="3"/>
      <c r="T1399" s="3"/>
      <c r="U1399" s="3"/>
      <c r="V1399" s="3"/>
    </row>
    <row r="1400" spans="1:22" ht="31.5" x14ac:dyDescent="0.5">
      <c r="A1400" s="3"/>
      <c r="B1400" s="3"/>
      <c r="C1400" s="3"/>
      <c r="D1400" s="3"/>
      <c r="E1400" s="3"/>
      <c r="F1400" s="3"/>
      <c r="G1400" s="3"/>
      <c r="H1400" s="3"/>
      <c r="I1400" s="5"/>
      <c r="J1400" s="3"/>
      <c r="K1400" s="3"/>
      <c r="L1400" s="3"/>
      <c r="M1400" s="3"/>
      <c r="N1400" s="16"/>
      <c r="O1400" s="3"/>
      <c r="P1400" s="3"/>
      <c r="Q1400" s="3"/>
      <c r="R1400" s="3"/>
      <c r="S1400" s="3"/>
      <c r="T1400" s="3"/>
      <c r="U1400" s="3"/>
      <c r="V1400" s="3"/>
    </row>
    <row r="1401" spans="1:22" ht="31.5" x14ac:dyDescent="0.5">
      <c r="A1401" s="3"/>
      <c r="B1401" s="3"/>
      <c r="C1401" s="3"/>
      <c r="D1401" s="3"/>
      <c r="E1401" s="3"/>
      <c r="F1401" s="3"/>
      <c r="G1401" s="3"/>
      <c r="H1401" s="3"/>
      <c r="I1401" s="5"/>
      <c r="J1401" s="3"/>
      <c r="K1401" s="3"/>
      <c r="L1401" s="3"/>
      <c r="M1401" s="3"/>
      <c r="N1401" s="16"/>
      <c r="O1401" s="3"/>
      <c r="P1401" s="3"/>
      <c r="Q1401" s="3"/>
      <c r="R1401" s="3"/>
      <c r="S1401" s="3"/>
      <c r="T1401" s="3"/>
      <c r="U1401" s="3"/>
      <c r="V1401" s="3"/>
    </row>
    <row r="1402" spans="1:22" ht="31.5" x14ac:dyDescent="0.5">
      <c r="A1402" s="3"/>
      <c r="B1402" s="3"/>
      <c r="C1402" s="3"/>
      <c r="D1402" s="3"/>
      <c r="E1402" s="3"/>
      <c r="F1402" s="3"/>
      <c r="G1402" s="3"/>
      <c r="H1402" s="3"/>
      <c r="I1402" s="5"/>
      <c r="J1402" s="3"/>
      <c r="K1402" s="3"/>
      <c r="L1402" s="3"/>
      <c r="M1402" s="3"/>
      <c r="N1402" s="16"/>
      <c r="O1402" s="3"/>
      <c r="P1402" s="3"/>
      <c r="Q1402" s="3"/>
      <c r="R1402" s="3"/>
      <c r="S1402" s="3"/>
      <c r="T1402" s="3"/>
      <c r="U1402" s="3"/>
      <c r="V1402" s="3"/>
    </row>
    <row r="1403" spans="1:22" ht="31.5" x14ac:dyDescent="0.5">
      <c r="A1403" s="3"/>
      <c r="B1403" s="3"/>
      <c r="C1403" s="3"/>
      <c r="D1403" s="3"/>
      <c r="E1403" s="3"/>
      <c r="F1403" s="3"/>
      <c r="G1403" s="3"/>
      <c r="H1403" s="3"/>
      <c r="I1403" s="5"/>
      <c r="J1403" s="3"/>
      <c r="K1403" s="3"/>
      <c r="L1403" s="3"/>
      <c r="M1403" s="3"/>
      <c r="N1403" s="16"/>
      <c r="O1403" s="3"/>
      <c r="P1403" s="3"/>
      <c r="Q1403" s="3"/>
      <c r="R1403" s="3"/>
      <c r="S1403" s="3"/>
      <c r="T1403" s="3"/>
      <c r="U1403" s="3"/>
      <c r="V1403" s="3"/>
    </row>
    <row r="1404" spans="1:22" ht="31.5" x14ac:dyDescent="0.5">
      <c r="A1404" s="3"/>
      <c r="B1404" s="3"/>
      <c r="C1404" s="3"/>
      <c r="D1404" s="3"/>
      <c r="E1404" s="3"/>
      <c r="F1404" s="3"/>
      <c r="G1404" s="3"/>
      <c r="H1404" s="3"/>
      <c r="I1404" s="5"/>
      <c r="J1404" s="3"/>
      <c r="K1404" s="3"/>
      <c r="L1404" s="3"/>
      <c r="M1404" s="3"/>
      <c r="N1404" s="16"/>
      <c r="O1404" s="3"/>
      <c r="P1404" s="3"/>
      <c r="Q1404" s="3"/>
      <c r="R1404" s="3"/>
      <c r="S1404" s="3"/>
      <c r="T1404" s="3"/>
      <c r="U1404" s="3"/>
      <c r="V1404" s="3"/>
    </row>
    <row r="1405" spans="1:22" ht="31.5" x14ac:dyDescent="0.5">
      <c r="A1405" s="3"/>
      <c r="B1405" s="3"/>
      <c r="C1405" s="3"/>
      <c r="D1405" s="3"/>
      <c r="E1405" s="3"/>
      <c r="F1405" s="3"/>
      <c r="G1405" s="3"/>
      <c r="H1405" s="3"/>
      <c r="I1405" s="5"/>
      <c r="J1405" s="3"/>
      <c r="K1405" s="3"/>
      <c r="L1405" s="3"/>
      <c r="M1405" s="3"/>
      <c r="N1405" s="16"/>
      <c r="O1405" s="3"/>
      <c r="P1405" s="3"/>
      <c r="Q1405" s="3"/>
      <c r="R1405" s="3"/>
      <c r="S1405" s="3"/>
      <c r="T1405" s="3"/>
      <c r="U1405" s="3"/>
      <c r="V1405" s="3"/>
    </row>
    <row r="1406" spans="1:22" ht="31.5" x14ac:dyDescent="0.5">
      <c r="A1406" s="3"/>
      <c r="B1406" s="3"/>
      <c r="C1406" s="3"/>
      <c r="D1406" s="3"/>
      <c r="E1406" s="3"/>
      <c r="F1406" s="3"/>
      <c r="G1406" s="3"/>
      <c r="H1406" s="3"/>
      <c r="I1406" s="5"/>
      <c r="J1406" s="3"/>
      <c r="K1406" s="3"/>
      <c r="L1406" s="3"/>
      <c r="M1406" s="3"/>
      <c r="N1406" s="16"/>
      <c r="O1406" s="3"/>
      <c r="P1406" s="3"/>
      <c r="Q1406" s="3"/>
      <c r="R1406" s="3"/>
      <c r="S1406" s="3"/>
      <c r="T1406" s="3"/>
      <c r="U1406" s="3"/>
      <c r="V1406" s="3"/>
    </row>
    <row r="1407" spans="1:22" ht="31.5" x14ac:dyDescent="0.5">
      <c r="A1407" s="3"/>
      <c r="B1407" s="3"/>
      <c r="C1407" s="3"/>
      <c r="D1407" s="3"/>
      <c r="E1407" s="3"/>
      <c r="F1407" s="3"/>
      <c r="G1407" s="3"/>
      <c r="H1407" s="3"/>
      <c r="I1407" s="5"/>
      <c r="J1407" s="3"/>
      <c r="K1407" s="3"/>
      <c r="L1407" s="3"/>
      <c r="M1407" s="3"/>
      <c r="N1407" s="16"/>
      <c r="O1407" s="3"/>
      <c r="P1407" s="3"/>
      <c r="Q1407" s="3"/>
      <c r="R1407" s="3"/>
      <c r="S1407" s="3"/>
      <c r="T1407" s="3"/>
      <c r="U1407" s="3"/>
      <c r="V1407" s="3"/>
    </row>
    <row r="1408" spans="1:22" ht="31.5" x14ac:dyDescent="0.5">
      <c r="A1408" s="3"/>
      <c r="B1408" s="3"/>
      <c r="C1408" s="3"/>
      <c r="D1408" s="3"/>
      <c r="E1408" s="3"/>
      <c r="F1408" s="3"/>
      <c r="G1408" s="3"/>
      <c r="H1408" s="3"/>
      <c r="I1408" s="5"/>
      <c r="J1408" s="3"/>
      <c r="K1408" s="3"/>
      <c r="L1408" s="3"/>
      <c r="M1408" s="3"/>
      <c r="N1408" s="16"/>
      <c r="O1408" s="3"/>
      <c r="P1408" s="3"/>
      <c r="Q1408" s="3"/>
      <c r="R1408" s="3"/>
      <c r="S1408" s="3"/>
      <c r="T1408" s="3"/>
      <c r="U1408" s="3"/>
      <c r="V1408" s="3"/>
    </row>
    <row r="1409" spans="1:22" ht="31.5" x14ac:dyDescent="0.5">
      <c r="A1409" s="3"/>
      <c r="B1409" s="3"/>
      <c r="C1409" s="3"/>
      <c r="D1409" s="3"/>
      <c r="E1409" s="3"/>
      <c r="F1409" s="3"/>
      <c r="G1409" s="3"/>
      <c r="H1409" s="3"/>
      <c r="I1409" s="5"/>
      <c r="J1409" s="3"/>
      <c r="K1409" s="3"/>
      <c r="L1409" s="3"/>
      <c r="M1409" s="3"/>
      <c r="N1409" s="16"/>
      <c r="O1409" s="3"/>
      <c r="P1409" s="3"/>
      <c r="Q1409" s="3"/>
      <c r="R1409" s="3"/>
      <c r="S1409" s="3"/>
      <c r="T1409" s="3"/>
      <c r="U1409" s="3"/>
      <c r="V1409" s="3"/>
    </row>
    <row r="1410" spans="1:22" ht="31.5" x14ac:dyDescent="0.5">
      <c r="A1410" s="3"/>
      <c r="B1410" s="3"/>
      <c r="C1410" s="3"/>
      <c r="D1410" s="3"/>
      <c r="E1410" s="3"/>
      <c r="F1410" s="3"/>
      <c r="G1410" s="3"/>
      <c r="H1410" s="3"/>
      <c r="I1410" s="5"/>
      <c r="J1410" s="3"/>
      <c r="K1410" s="3"/>
      <c r="L1410" s="3"/>
      <c r="M1410" s="3"/>
      <c r="N1410" s="16"/>
      <c r="O1410" s="3"/>
      <c r="P1410" s="3"/>
      <c r="Q1410" s="3"/>
      <c r="R1410" s="3"/>
      <c r="S1410" s="3"/>
      <c r="T1410" s="3"/>
      <c r="U1410" s="3"/>
      <c r="V1410" s="3"/>
    </row>
    <row r="1411" spans="1:22" ht="31.5" x14ac:dyDescent="0.5">
      <c r="A1411" s="3"/>
      <c r="B1411" s="3"/>
      <c r="C1411" s="3"/>
      <c r="D1411" s="3"/>
      <c r="E1411" s="3"/>
      <c r="F1411" s="3"/>
      <c r="G1411" s="3"/>
      <c r="H1411" s="3"/>
      <c r="I1411" s="5"/>
      <c r="J1411" s="3"/>
      <c r="K1411" s="3"/>
      <c r="L1411" s="3"/>
      <c r="M1411" s="3"/>
      <c r="N1411" s="16"/>
      <c r="O1411" s="3"/>
      <c r="P1411" s="3"/>
      <c r="Q1411" s="3"/>
      <c r="R1411" s="3"/>
      <c r="S1411" s="3"/>
      <c r="T1411" s="3"/>
      <c r="U1411" s="3"/>
      <c r="V1411" s="3"/>
    </row>
    <row r="1412" spans="1:22" ht="31.5" x14ac:dyDescent="0.5">
      <c r="A1412" s="3"/>
      <c r="B1412" s="3"/>
      <c r="C1412" s="3"/>
      <c r="D1412" s="3"/>
      <c r="E1412" s="3"/>
      <c r="F1412" s="3"/>
      <c r="G1412" s="3"/>
      <c r="H1412" s="3"/>
      <c r="I1412" s="5"/>
      <c r="J1412" s="3"/>
      <c r="K1412" s="3"/>
      <c r="L1412" s="3"/>
      <c r="M1412" s="3"/>
      <c r="N1412" s="16"/>
      <c r="O1412" s="3"/>
      <c r="P1412" s="3"/>
      <c r="Q1412" s="3"/>
      <c r="R1412" s="3"/>
      <c r="S1412" s="3"/>
      <c r="T1412" s="3"/>
      <c r="U1412" s="3"/>
      <c r="V1412" s="3"/>
    </row>
    <row r="1413" spans="1:22" ht="31.5" x14ac:dyDescent="0.5">
      <c r="A1413" s="3"/>
      <c r="B1413" s="3"/>
      <c r="C1413" s="3"/>
      <c r="D1413" s="3"/>
      <c r="E1413" s="3"/>
      <c r="F1413" s="3"/>
      <c r="G1413" s="3"/>
      <c r="H1413" s="3"/>
      <c r="I1413" s="5"/>
      <c r="J1413" s="3"/>
      <c r="K1413" s="3"/>
      <c r="L1413" s="3"/>
      <c r="M1413" s="3"/>
      <c r="N1413" s="16"/>
      <c r="O1413" s="3"/>
      <c r="P1413" s="3"/>
      <c r="Q1413" s="3"/>
      <c r="R1413" s="3"/>
      <c r="S1413" s="3"/>
      <c r="T1413" s="3"/>
      <c r="U1413" s="3"/>
      <c r="V1413" s="3"/>
    </row>
    <row r="1414" spans="1:22" ht="31.5" x14ac:dyDescent="0.5">
      <c r="A1414" s="3"/>
      <c r="B1414" s="3"/>
      <c r="C1414" s="3"/>
      <c r="D1414" s="3"/>
      <c r="E1414" s="3"/>
      <c r="F1414" s="3"/>
      <c r="G1414" s="3"/>
      <c r="H1414" s="3"/>
      <c r="I1414" s="5"/>
      <c r="J1414" s="3"/>
      <c r="K1414" s="3"/>
      <c r="L1414" s="3"/>
      <c r="M1414" s="3"/>
      <c r="N1414" s="16"/>
      <c r="O1414" s="3"/>
      <c r="P1414" s="3"/>
      <c r="Q1414" s="3"/>
      <c r="R1414" s="3"/>
      <c r="S1414" s="3"/>
      <c r="T1414" s="3"/>
      <c r="U1414" s="3"/>
      <c r="V1414" s="3"/>
    </row>
    <row r="1415" spans="1:22" ht="31.5" x14ac:dyDescent="0.5">
      <c r="A1415" s="3"/>
      <c r="B1415" s="3"/>
      <c r="C1415" s="3"/>
      <c r="D1415" s="3"/>
      <c r="E1415" s="3"/>
      <c r="F1415" s="3"/>
      <c r="G1415" s="3"/>
      <c r="H1415" s="3"/>
      <c r="I1415" s="5"/>
      <c r="J1415" s="3"/>
      <c r="K1415" s="3"/>
      <c r="L1415" s="3"/>
      <c r="M1415" s="3"/>
      <c r="N1415" s="16"/>
      <c r="O1415" s="3"/>
      <c r="P1415" s="3"/>
      <c r="Q1415" s="3"/>
      <c r="R1415" s="3"/>
      <c r="S1415" s="3"/>
      <c r="T1415" s="3"/>
      <c r="U1415" s="3"/>
      <c r="V1415" s="3"/>
    </row>
    <row r="1416" spans="1:22" ht="31.5" x14ac:dyDescent="0.5">
      <c r="A1416" s="3"/>
      <c r="B1416" s="3"/>
      <c r="C1416" s="3"/>
      <c r="D1416" s="3"/>
      <c r="E1416" s="3"/>
      <c r="F1416" s="3"/>
      <c r="G1416" s="3"/>
      <c r="H1416" s="3"/>
      <c r="I1416" s="5"/>
      <c r="J1416" s="3"/>
      <c r="K1416" s="3"/>
      <c r="L1416" s="3"/>
      <c r="M1416" s="3"/>
      <c r="N1416" s="16"/>
      <c r="O1416" s="3"/>
      <c r="P1416" s="3"/>
      <c r="Q1416" s="3"/>
      <c r="R1416" s="3"/>
      <c r="S1416" s="3"/>
      <c r="T1416" s="3"/>
      <c r="U1416" s="3"/>
      <c r="V1416" s="3"/>
    </row>
    <row r="1417" spans="1:22" ht="31.5" x14ac:dyDescent="0.5">
      <c r="A1417" s="3"/>
      <c r="B1417" s="3"/>
      <c r="C1417" s="3"/>
      <c r="D1417" s="3"/>
      <c r="E1417" s="3"/>
      <c r="F1417" s="3"/>
      <c r="G1417" s="3"/>
      <c r="H1417" s="3"/>
      <c r="I1417" s="5"/>
      <c r="J1417" s="3"/>
      <c r="K1417" s="3"/>
      <c r="L1417" s="3"/>
      <c r="M1417" s="3"/>
      <c r="N1417" s="16"/>
      <c r="O1417" s="3"/>
      <c r="P1417" s="3"/>
      <c r="Q1417" s="3"/>
      <c r="R1417" s="3"/>
      <c r="S1417" s="3"/>
      <c r="T1417" s="3"/>
      <c r="U1417" s="3"/>
      <c r="V1417" s="3"/>
    </row>
    <row r="1418" spans="1:22" ht="31.5" x14ac:dyDescent="0.5">
      <c r="A1418" s="3"/>
      <c r="B1418" s="3"/>
      <c r="C1418" s="3"/>
      <c r="D1418" s="3"/>
      <c r="E1418" s="3"/>
      <c r="F1418" s="3"/>
      <c r="G1418" s="3"/>
      <c r="H1418" s="3"/>
      <c r="I1418" s="5"/>
      <c r="J1418" s="3"/>
      <c r="K1418" s="3"/>
      <c r="L1418" s="3"/>
      <c r="M1418" s="3"/>
      <c r="N1418" s="16"/>
      <c r="O1418" s="3"/>
      <c r="P1418" s="3"/>
      <c r="Q1418" s="3"/>
      <c r="R1418" s="3"/>
      <c r="S1418" s="3"/>
      <c r="T1418" s="3"/>
      <c r="U1418" s="3"/>
      <c r="V1418" s="3"/>
    </row>
    <row r="1419" spans="1:22" ht="31.5" x14ac:dyDescent="0.5">
      <c r="A1419" s="3"/>
      <c r="B1419" s="3"/>
      <c r="C1419" s="3"/>
      <c r="D1419" s="3"/>
      <c r="E1419" s="3"/>
      <c r="F1419" s="3"/>
      <c r="G1419" s="3"/>
      <c r="H1419" s="3"/>
      <c r="I1419" s="5"/>
      <c r="J1419" s="3"/>
      <c r="K1419" s="3"/>
      <c r="L1419" s="3"/>
      <c r="M1419" s="3"/>
      <c r="N1419" s="16"/>
      <c r="O1419" s="3"/>
      <c r="P1419" s="3"/>
      <c r="Q1419" s="3"/>
      <c r="R1419" s="3"/>
      <c r="S1419" s="3"/>
      <c r="T1419" s="3"/>
      <c r="U1419" s="3"/>
      <c r="V1419" s="3"/>
    </row>
    <row r="1420" spans="1:22" ht="31.5" x14ac:dyDescent="0.5">
      <c r="A1420" s="3"/>
      <c r="B1420" s="3"/>
      <c r="C1420" s="3"/>
      <c r="D1420" s="3"/>
      <c r="E1420" s="3"/>
      <c r="F1420" s="3"/>
      <c r="G1420" s="3"/>
      <c r="H1420" s="3"/>
      <c r="I1420" s="5"/>
      <c r="J1420" s="3"/>
      <c r="K1420" s="3"/>
      <c r="L1420" s="3"/>
      <c r="M1420" s="3"/>
      <c r="N1420" s="16"/>
      <c r="O1420" s="3"/>
      <c r="P1420" s="3"/>
      <c r="Q1420" s="3"/>
      <c r="R1420" s="3"/>
      <c r="S1420" s="3"/>
      <c r="T1420" s="3"/>
      <c r="U1420" s="3"/>
      <c r="V1420" s="3"/>
    </row>
    <row r="1421" spans="1:22" ht="31.5" x14ac:dyDescent="0.5">
      <c r="A1421" s="3"/>
      <c r="B1421" s="3"/>
      <c r="C1421" s="3"/>
      <c r="D1421" s="3"/>
      <c r="E1421" s="3"/>
      <c r="F1421" s="3"/>
      <c r="G1421" s="3"/>
      <c r="H1421" s="3"/>
      <c r="I1421" s="5"/>
      <c r="J1421" s="3"/>
      <c r="K1421" s="3"/>
      <c r="L1421" s="3"/>
      <c r="M1421" s="3"/>
      <c r="N1421" s="16"/>
      <c r="O1421" s="3"/>
      <c r="P1421" s="3"/>
      <c r="Q1421" s="3"/>
      <c r="R1421" s="3"/>
      <c r="S1421" s="3"/>
      <c r="T1421" s="3"/>
      <c r="U1421" s="3"/>
      <c r="V1421" s="3"/>
    </row>
    <row r="1422" spans="1:22" ht="31.5" x14ac:dyDescent="0.5">
      <c r="A1422" s="3"/>
      <c r="B1422" s="3"/>
      <c r="C1422" s="3"/>
      <c r="D1422" s="3"/>
      <c r="E1422" s="3"/>
      <c r="F1422" s="3"/>
      <c r="G1422" s="3"/>
      <c r="H1422" s="3"/>
      <c r="I1422" s="5"/>
      <c r="J1422" s="3"/>
      <c r="K1422" s="3"/>
      <c r="L1422" s="3"/>
      <c r="M1422" s="3"/>
      <c r="N1422" s="16"/>
      <c r="O1422" s="3"/>
      <c r="P1422" s="3"/>
      <c r="Q1422" s="3"/>
      <c r="R1422" s="3"/>
      <c r="S1422" s="3"/>
      <c r="T1422" s="3"/>
      <c r="U1422" s="3"/>
      <c r="V1422" s="3"/>
    </row>
    <row r="1423" spans="1:22" ht="31.5" x14ac:dyDescent="0.5">
      <c r="A1423" s="3"/>
      <c r="B1423" s="3"/>
      <c r="C1423" s="3"/>
      <c r="D1423" s="3"/>
      <c r="E1423" s="3"/>
      <c r="F1423" s="3"/>
      <c r="G1423" s="3"/>
      <c r="H1423" s="3"/>
      <c r="I1423" s="5"/>
      <c r="J1423" s="3"/>
      <c r="K1423" s="3"/>
      <c r="L1423" s="3"/>
      <c r="M1423" s="3"/>
      <c r="N1423" s="16"/>
      <c r="O1423" s="3"/>
      <c r="P1423" s="3"/>
      <c r="Q1423" s="3"/>
      <c r="R1423" s="3"/>
      <c r="S1423" s="3"/>
      <c r="T1423" s="3"/>
      <c r="U1423" s="3"/>
      <c r="V1423" s="3"/>
    </row>
    <row r="1424" spans="1:22" ht="31.5" x14ac:dyDescent="0.5">
      <c r="A1424" s="3"/>
      <c r="B1424" s="3"/>
      <c r="C1424" s="3"/>
      <c r="D1424" s="3"/>
      <c r="E1424" s="3"/>
      <c r="F1424" s="3"/>
      <c r="G1424" s="3"/>
      <c r="H1424" s="3"/>
      <c r="I1424" s="5"/>
      <c r="J1424" s="3"/>
      <c r="K1424" s="3"/>
      <c r="L1424" s="3"/>
      <c r="M1424" s="3"/>
      <c r="N1424" s="16"/>
      <c r="O1424" s="3"/>
      <c r="P1424" s="3"/>
      <c r="Q1424" s="3"/>
      <c r="R1424" s="3"/>
      <c r="S1424" s="3"/>
      <c r="T1424" s="3"/>
      <c r="U1424" s="3"/>
      <c r="V1424" s="3"/>
    </row>
    <row r="1425" spans="1:22" ht="31.5" x14ac:dyDescent="0.5">
      <c r="A1425" s="3"/>
      <c r="B1425" s="3"/>
      <c r="C1425" s="3"/>
      <c r="D1425" s="3"/>
      <c r="E1425" s="3"/>
      <c r="F1425" s="3"/>
      <c r="G1425" s="3"/>
      <c r="H1425" s="3"/>
      <c r="I1425" s="5"/>
      <c r="J1425" s="3"/>
      <c r="K1425" s="3"/>
      <c r="L1425" s="3"/>
      <c r="M1425" s="3"/>
      <c r="N1425" s="16"/>
      <c r="O1425" s="3"/>
      <c r="P1425" s="3"/>
      <c r="Q1425" s="3"/>
      <c r="R1425" s="3"/>
      <c r="S1425" s="3"/>
      <c r="T1425" s="3"/>
      <c r="U1425" s="3"/>
      <c r="V1425" s="3"/>
    </row>
    <row r="1426" spans="1:22" ht="31.5" x14ac:dyDescent="0.5">
      <c r="A1426" s="3"/>
      <c r="B1426" s="3"/>
      <c r="C1426" s="3"/>
      <c r="D1426" s="3"/>
      <c r="E1426" s="3"/>
      <c r="F1426" s="3"/>
      <c r="G1426" s="3"/>
      <c r="H1426" s="3"/>
      <c r="I1426" s="5"/>
      <c r="J1426" s="3"/>
      <c r="K1426" s="3"/>
      <c r="L1426" s="3"/>
      <c r="M1426" s="3"/>
      <c r="N1426" s="16"/>
      <c r="O1426" s="3"/>
      <c r="P1426" s="3"/>
      <c r="Q1426" s="3"/>
      <c r="R1426" s="3"/>
      <c r="S1426" s="3"/>
      <c r="T1426" s="3"/>
      <c r="U1426" s="3"/>
      <c r="V1426" s="3"/>
    </row>
    <row r="1427" spans="1:22" ht="31.5" x14ac:dyDescent="0.5">
      <c r="A1427" s="3"/>
      <c r="B1427" s="3"/>
      <c r="C1427" s="3"/>
      <c r="D1427" s="3"/>
      <c r="E1427" s="3"/>
      <c r="F1427" s="3"/>
      <c r="G1427" s="3"/>
      <c r="H1427" s="3"/>
      <c r="I1427" s="5"/>
      <c r="J1427" s="3"/>
      <c r="K1427" s="3"/>
      <c r="L1427" s="3"/>
      <c r="M1427" s="3"/>
      <c r="N1427" s="16"/>
      <c r="O1427" s="3"/>
      <c r="P1427" s="3"/>
      <c r="Q1427" s="3"/>
      <c r="R1427" s="3"/>
      <c r="S1427" s="3"/>
      <c r="T1427" s="3"/>
      <c r="U1427" s="3"/>
      <c r="V1427" s="3"/>
    </row>
    <row r="1428" spans="1:22" ht="31.5" x14ac:dyDescent="0.5">
      <c r="A1428" s="3"/>
      <c r="B1428" s="3"/>
      <c r="C1428" s="3"/>
      <c r="D1428" s="3"/>
      <c r="E1428" s="3"/>
      <c r="F1428" s="3"/>
      <c r="G1428" s="3"/>
      <c r="H1428" s="3"/>
      <c r="I1428" s="5"/>
      <c r="J1428" s="3"/>
      <c r="K1428" s="3"/>
      <c r="L1428" s="3"/>
      <c r="M1428" s="3"/>
      <c r="N1428" s="16"/>
      <c r="O1428" s="3"/>
      <c r="P1428" s="3"/>
      <c r="Q1428" s="3"/>
      <c r="R1428" s="3"/>
      <c r="S1428" s="3"/>
      <c r="T1428" s="3"/>
      <c r="U1428" s="3"/>
      <c r="V1428" s="3"/>
    </row>
    <row r="1429" spans="1:22" ht="31.5" x14ac:dyDescent="0.5">
      <c r="A1429" s="3"/>
      <c r="B1429" s="3"/>
      <c r="C1429" s="3"/>
      <c r="D1429" s="3"/>
      <c r="E1429" s="3"/>
      <c r="F1429" s="3"/>
      <c r="G1429" s="3"/>
      <c r="H1429" s="3"/>
      <c r="I1429" s="5"/>
      <c r="J1429" s="3"/>
      <c r="K1429" s="3"/>
      <c r="L1429" s="3"/>
      <c r="M1429" s="3"/>
      <c r="N1429" s="16"/>
      <c r="O1429" s="3"/>
      <c r="P1429" s="3"/>
      <c r="Q1429" s="3"/>
      <c r="R1429" s="3"/>
      <c r="S1429" s="3"/>
      <c r="T1429" s="3"/>
      <c r="U1429" s="3"/>
      <c r="V1429" s="3"/>
    </row>
    <row r="1430" spans="1:22" ht="31.5" x14ac:dyDescent="0.5">
      <c r="A1430" s="3"/>
      <c r="B1430" s="3"/>
      <c r="C1430" s="3"/>
      <c r="D1430" s="3"/>
      <c r="E1430" s="3"/>
      <c r="F1430" s="3"/>
      <c r="G1430" s="3"/>
      <c r="H1430" s="3"/>
      <c r="I1430" s="5"/>
      <c r="J1430" s="3"/>
      <c r="K1430" s="3"/>
      <c r="L1430" s="3"/>
      <c r="M1430" s="3"/>
      <c r="N1430" s="16"/>
      <c r="O1430" s="3"/>
      <c r="P1430" s="3"/>
      <c r="Q1430" s="3"/>
      <c r="R1430" s="3"/>
      <c r="S1430" s="3"/>
      <c r="T1430" s="3"/>
      <c r="U1430" s="3"/>
      <c r="V1430" s="3"/>
    </row>
    <row r="1431" spans="1:22" ht="31.5" x14ac:dyDescent="0.5">
      <c r="A1431" s="3"/>
      <c r="B1431" s="3"/>
      <c r="C1431" s="3"/>
      <c r="D1431" s="3"/>
      <c r="E1431" s="3"/>
      <c r="F1431" s="3"/>
      <c r="G1431" s="3"/>
      <c r="H1431" s="3"/>
      <c r="I1431" s="5"/>
      <c r="J1431" s="3"/>
      <c r="K1431" s="3"/>
      <c r="L1431" s="3"/>
      <c r="M1431" s="3"/>
      <c r="N1431" s="16"/>
      <c r="O1431" s="3"/>
      <c r="P1431" s="3"/>
      <c r="Q1431" s="3"/>
      <c r="R1431" s="3"/>
      <c r="S1431" s="3"/>
      <c r="T1431" s="3"/>
      <c r="U1431" s="3"/>
      <c r="V1431" s="3"/>
    </row>
    <row r="1432" spans="1:22" ht="31.5" x14ac:dyDescent="0.5">
      <c r="A1432" s="3"/>
      <c r="B1432" s="3"/>
      <c r="C1432" s="3"/>
      <c r="D1432" s="3"/>
      <c r="E1432" s="3"/>
      <c r="F1432" s="3"/>
      <c r="G1432" s="3"/>
      <c r="H1432" s="3"/>
      <c r="I1432" s="5"/>
      <c r="J1432" s="3"/>
      <c r="K1432" s="3"/>
      <c r="L1432" s="3"/>
      <c r="M1432" s="3"/>
      <c r="N1432" s="16"/>
      <c r="O1432" s="3"/>
      <c r="P1432" s="3"/>
      <c r="Q1432" s="3"/>
      <c r="R1432" s="3"/>
      <c r="S1432" s="3"/>
      <c r="T1432" s="3"/>
      <c r="U1432" s="3"/>
      <c r="V1432" s="3"/>
    </row>
    <row r="1433" spans="1:22" ht="31.5" x14ac:dyDescent="0.5">
      <c r="A1433" s="3"/>
      <c r="B1433" s="3"/>
      <c r="C1433" s="3"/>
      <c r="D1433" s="3"/>
      <c r="E1433" s="3"/>
      <c r="F1433" s="3"/>
      <c r="G1433" s="3"/>
      <c r="H1433" s="3"/>
      <c r="I1433" s="5"/>
      <c r="J1433" s="3"/>
      <c r="K1433" s="3"/>
      <c r="L1433" s="3"/>
      <c r="M1433" s="3"/>
      <c r="N1433" s="16"/>
      <c r="O1433" s="3"/>
      <c r="P1433" s="3"/>
      <c r="Q1433" s="3"/>
      <c r="R1433" s="3"/>
      <c r="S1433" s="3"/>
      <c r="T1433" s="3"/>
      <c r="U1433" s="3"/>
      <c r="V1433" s="3"/>
    </row>
    <row r="1434" spans="1:22" ht="31.5" x14ac:dyDescent="0.5">
      <c r="A1434" s="3"/>
      <c r="B1434" s="3"/>
      <c r="C1434" s="3"/>
      <c r="D1434" s="3"/>
      <c r="E1434" s="3"/>
      <c r="F1434" s="3"/>
      <c r="G1434" s="3"/>
      <c r="H1434" s="3"/>
      <c r="I1434" s="5"/>
      <c r="J1434" s="3"/>
      <c r="K1434" s="3"/>
      <c r="L1434" s="3"/>
      <c r="M1434" s="3"/>
      <c r="N1434" s="16"/>
      <c r="O1434" s="3"/>
      <c r="P1434" s="3"/>
      <c r="Q1434" s="3"/>
      <c r="R1434" s="3"/>
      <c r="S1434" s="3"/>
      <c r="T1434" s="3"/>
      <c r="U1434" s="3"/>
      <c r="V1434" s="3"/>
    </row>
    <row r="1435" spans="1:22" ht="31.5" x14ac:dyDescent="0.5">
      <c r="A1435" s="3"/>
      <c r="B1435" s="3"/>
      <c r="C1435" s="3"/>
      <c r="D1435" s="3"/>
      <c r="E1435" s="3"/>
      <c r="F1435" s="3"/>
      <c r="G1435" s="3"/>
      <c r="H1435" s="3"/>
      <c r="I1435" s="5"/>
      <c r="J1435" s="3"/>
      <c r="K1435" s="3"/>
      <c r="L1435" s="3"/>
      <c r="M1435" s="3"/>
      <c r="N1435" s="16"/>
      <c r="O1435" s="3"/>
      <c r="P1435" s="3"/>
      <c r="Q1435" s="3"/>
      <c r="R1435" s="3"/>
      <c r="S1435" s="3"/>
      <c r="T1435" s="3"/>
      <c r="U1435" s="3"/>
      <c r="V1435" s="3"/>
    </row>
    <row r="1436" spans="1:22" ht="31.5" x14ac:dyDescent="0.5">
      <c r="A1436" s="3"/>
      <c r="B1436" s="3"/>
      <c r="C1436" s="3"/>
      <c r="D1436" s="3"/>
      <c r="E1436" s="3"/>
      <c r="F1436" s="3"/>
      <c r="G1436" s="3"/>
      <c r="H1436" s="3"/>
      <c r="I1436" s="5"/>
      <c r="J1436" s="3"/>
      <c r="K1436" s="3"/>
      <c r="L1436" s="3"/>
      <c r="M1436" s="3"/>
      <c r="N1436" s="16"/>
      <c r="O1436" s="3"/>
      <c r="P1436" s="3"/>
      <c r="Q1436" s="3"/>
      <c r="R1436" s="3"/>
      <c r="S1436" s="3"/>
      <c r="T1436" s="3"/>
      <c r="U1436" s="3"/>
      <c r="V1436" s="3"/>
    </row>
    <row r="1437" spans="1:22" ht="31.5" x14ac:dyDescent="0.5">
      <c r="A1437" s="3"/>
      <c r="B1437" s="3"/>
      <c r="C1437" s="3"/>
      <c r="D1437" s="3"/>
      <c r="E1437" s="3"/>
      <c r="F1437" s="3"/>
      <c r="G1437" s="3"/>
      <c r="H1437" s="3"/>
      <c r="I1437" s="5"/>
      <c r="J1437" s="3"/>
      <c r="K1437" s="3"/>
      <c r="L1437" s="3"/>
      <c r="M1437" s="3"/>
      <c r="N1437" s="16"/>
      <c r="O1437" s="3"/>
      <c r="P1437" s="3"/>
      <c r="Q1437" s="3"/>
      <c r="R1437" s="3"/>
      <c r="S1437" s="3"/>
      <c r="T1437" s="3"/>
      <c r="U1437" s="3"/>
      <c r="V1437" s="3"/>
    </row>
    <row r="1438" spans="1:22" ht="31.5" x14ac:dyDescent="0.5">
      <c r="A1438" s="3"/>
      <c r="B1438" s="3"/>
      <c r="C1438" s="3"/>
      <c r="D1438" s="3"/>
      <c r="E1438" s="3"/>
      <c r="F1438" s="3"/>
      <c r="G1438" s="3"/>
      <c r="H1438" s="3"/>
      <c r="I1438" s="5"/>
      <c r="J1438" s="3"/>
      <c r="K1438" s="3"/>
      <c r="L1438" s="3"/>
      <c r="M1438" s="3"/>
      <c r="N1438" s="16"/>
      <c r="O1438" s="3"/>
      <c r="P1438" s="3"/>
      <c r="Q1438" s="3"/>
      <c r="R1438" s="3"/>
      <c r="S1438" s="3"/>
      <c r="T1438" s="3"/>
      <c r="U1438" s="3"/>
      <c r="V1438" s="3"/>
    </row>
    <row r="1439" spans="1:22" ht="31.5" x14ac:dyDescent="0.5">
      <c r="A1439" s="3"/>
      <c r="B1439" s="3"/>
      <c r="C1439" s="3"/>
      <c r="D1439" s="3"/>
      <c r="E1439" s="3"/>
      <c r="F1439" s="3"/>
      <c r="G1439" s="3"/>
      <c r="H1439" s="3"/>
      <c r="I1439" s="5"/>
      <c r="J1439" s="3"/>
      <c r="K1439" s="3"/>
      <c r="L1439" s="3"/>
      <c r="M1439" s="3"/>
      <c r="N1439" s="16"/>
      <c r="O1439" s="3"/>
      <c r="P1439" s="3"/>
      <c r="Q1439" s="3"/>
      <c r="R1439" s="3"/>
      <c r="S1439" s="3"/>
      <c r="T1439" s="3"/>
      <c r="U1439" s="3"/>
      <c r="V1439" s="3"/>
    </row>
    <row r="1440" spans="1:22" ht="31.5" x14ac:dyDescent="0.5">
      <c r="A1440" s="3"/>
      <c r="B1440" s="3"/>
      <c r="C1440" s="3"/>
      <c r="D1440" s="3"/>
      <c r="E1440" s="3"/>
      <c r="F1440" s="3"/>
      <c r="G1440" s="3"/>
      <c r="H1440" s="3"/>
      <c r="I1440" s="5"/>
      <c r="J1440" s="3"/>
      <c r="K1440" s="3"/>
      <c r="L1440" s="3"/>
      <c r="M1440" s="3"/>
      <c r="N1440" s="16"/>
      <c r="O1440" s="3"/>
      <c r="P1440" s="3"/>
      <c r="Q1440" s="3"/>
      <c r="R1440" s="3"/>
      <c r="S1440" s="3"/>
      <c r="T1440" s="3"/>
      <c r="U1440" s="3"/>
      <c r="V1440" s="3"/>
    </row>
    <row r="1441" spans="1:22" ht="31.5" x14ac:dyDescent="0.5">
      <c r="A1441" s="3"/>
      <c r="B1441" s="3"/>
      <c r="C1441" s="3"/>
      <c r="D1441" s="3"/>
      <c r="E1441" s="3"/>
      <c r="F1441" s="3"/>
      <c r="G1441" s="3"/>
      <c r="H1441" s="3"/>
      <c r="I1441" s="5"/>
      <c r="J1441" s="3"/>
      <c r="K1441" s="3"/>
      <c r="L1441" s="3"/>
      <c r="M1441" s="3"/>
      <c r="N1441" s="16"/>
      <c r="O1441" s="3"/>
      <c r="P1441" s="3"/>
      <c r="Q1441" s="3"/>
      <c r="R1441" s="3"/>
      <c r="S1441" s="3"/>
      <c r="T1441" s="3"/>
      <c r="U1441" s="3"/>
      <c r="V1441" s="3"/>
    </row>
    <row r="1442" spans="1:22" ht="31.5" x14ac:dyDescent="0.5">
      <c r="A1442" s="3"/>
      <c r="B1442" s="3"/>
      <c r="C1442" s="3"/>
      <c r="D1442" s="3"/>
      <c r="E1442" s="3"/>
      <c r="F1442" s="3"/>
      <c r="G1442" s="3"/>
      <c r="H1442" s="3"/>
      <c r="I1442" s="5"/>
      <c r="J1442" s="3"/>
      <c r="K1442" s="3"/>
      <c r="L1442" s="3"/>
      <c r="M1442" s="3"/>
      <c r="N1442" s="16"/>
      <c r="O1442" s="3"/>
      <c r="P1442" s="3"/>
      <c r="Q1442" s="3"/>
      <c r="R1442" s="3"/>
      <c r="S1442" s="3"/>
      <c r="T1442" s="3"/>
      <c r="U1442" s="3"/>
      <c r="V1442" s="3"/>
    </row>
    <row r="1443" spans="1:22" ht="31.5" x14ac:dyDescent="0.5">
      <c r="A1443" s="3"/>
      <c r="B1443" s="3"/>
      <c r="C1443" s="3"/>
      <c r="D1443" s="3"/>
      <c r="E1443" s="3"/>
      <c r="F1443" s="3"/>
      <c r="G1443" s="3"/>
      <c r="H1443" s="3"/>
      <c r="I1443" s="5"/>
      <c r="J1443" s="3"/>
      <c r="K1443" s="3"/>
      <c r="L1443" s="3"/>
      <c r="M1443" s="3"/>
      <c r="N1443" s="16"/>
      <c r="O1443" s="3"/>
      <c r="P1443" s="3"/>
      <c r="Q1443" s="3"/>
      <c r="R1443" s="3"/>
      <c r="S1443" s="3"/>
      <c r="T1443" s="3"/>
      <c r="U1443" s="3"/>
      <c r="V1443" s="3"/>
    </row>
    <row r="1444" spans="1:22" ht="31.5" x14ac:dyDescent="0.5">
      <c r="A1444" s="3"/>
      <c r="B1444" s="3"/>
      <c r="C1444" s="3"/>
      <c r="D1444" s="3"/>
      <c r="E1444" s="3"/>
      <c r="F1444" s="3"/>
      <c r="G1444" s="3"/>
      <c r="H1444" s="3"/>
      <c r="I1444" s="5"/>
      <c r="J1444" s="3"/>
      <c r="K1444" s="3"/>
      <c r="L1444" s="3"/>
      <c r="M1444" s="3"/>
      <c r="N1444" s="16"/>
      <c r="O1444" s="3"/>
      <c r="P1444" s="3"/>
      <c r="Q1444" s="3"/>
      <c r="R1444" s="3"/>
      <c r="S1444" s="3"/>
      <c r="T1444" s="3"/>
      <c r="U1444" s="3"/>
      <c r="V1444" s="3"/>
    </row>
    <row r="1445" spans="1:22" ht="31.5" x14ac:dyDescent="0.5">
      <c r="A1445" s="3"/>
      <c r="B1445" s="3"/>
      <c r="C1445" s="3"/>
      <c r="D1445" s="3"/>
      <c r="E1445" s="3"/>
      <c r="F1445" s="3"/>
      <c r="G1445" s="3"/>
      <c r="H1445" s="3"/>
      <c r="I1445" s="5"/>
      <c r="J1445" s="3"/>
      <c r="K1445" s="3"/>
      <c r="L1445" s="3"/>
      <c r="M1445" s="3"/>
      <c r="N1445" s="16"/>
      <c r="O1445" s="3"/>
      <c r="P1445" s="3"/>
      <c r="Q1445" s="3"/>
      <c r="R1445" s="3"/>
      <c r="S1445" s="3"/>
      <c r="T1445" s="3"/>
      <c r="U1445" s="3"/>
      <c r="V1445" s="3"/>
    </row>
    <row r="1446" spans="1:22" ht="31.5" x14ac:dyDescent="0.5">
      <c r="A1446" s="3"/>
      <c r="B1446" s="3"/>
      <c r="C1446" s="3"/>
      <c r="D1446" s="3"/>
      <c r="E1446" s="3"/>
      <c r="F1446" s="3"/>
      <c r="G1446" s="3"/>
      <c r="H1446" s="3"/>
      <c r="I1446" s="5"/>
      <c r="J1446" s="3"/>
      <c r="K1446" s="3"/>
      <c r="L1446" s="3"/>
      <c r="M1446" s="3"/>
      <c r="N1446" s="16"/>
      <c r="O1446" s="3"/>
      <c r="P1446" s="3"/>
      <c r="Q1446" s="3"/>
      <c r="R1446" s="3"/>
      <c r="S1446" s="3"/>
      <c r="T1446" s="3"/>
      <c r="U1446" s="3"/>
      <c r="V1446" s="3"/>
    </row>
    <row r="1447" spans="1:22" ht="31.5" x14ac:dyDescent="0.5">
      <c r="A1447" s="3"/>
      <c r="B1447" s="3"/>
      <c r="C1447" s="3"/>
      <c r="D1447" s="3"/>
      <c r="E1447" s="3"/>
      <c r="F1447" s="3"/>
      <c r="G1447" s="3"/>
      <c r="H1447" s="3"/>
      <c r="I1447" s="5"/>
      <c r="J1447" s="3"/>
      <c r="K1447" s="3"/>
      <c r="L1447" s="3"/>
      <c r="M1447" s="3"/>
      <c r="N1447" s="16"/>
      <c r="O1447" s="3"/>
      <c r="P1447" s="3"/>
      <c r="Q1447" s="3"/>
      <c r="R1447" s="3"/>
      <c r="S1447" s="3"/>
      <c r="T1447" s="3"/>
      <c r="U1447" s="3"/>
      <c r="V1447" s="3"/>
    </row>
    <row r="1448" spans="1:22" ht="31.5" x14ac:dyDescent="0.5">
      <c r="A1448" s="3"/>
      <c r="B1448" s="3"/>
      <c r="C1448" s="3"/>
      <c r="D1448" s="3"/>
      <c r="E1448" s="3"/>
      <c r="F1448" s="3"/>
      <c r="G1448" s="3"/>
      <c r="H1448" s="3"/>
      <c r="I1448" s="5"/>
      <c r="J1448" s="3"/>
      <c r="K1448" s="3"/>
      <c r="L1448" s="3"/>
      <c r="M1448" s="3"/>
      <c r="N1448" s="16"/>
      <c r="O1448" s="3"/>
      <c r="P1448" s="3"/>
      <c r="Q1448" s="3"/>
      <c r="R1448" s="3"/>
      <c r="S1448" s="3"/>
      <c r="T1448" s="3"/>
      <c r="U1448" s="3"/>
      <c r="V1448" s="3"/>
    </row>
    <row r="1449" spans="1:22" ht="31.5" x14ac:dyDescent="0.5">
      <c r="A1449" s="3"/>
      <c r="B1449" s="3"/>
      <c r="C1449" s="3"/>
      <c r="D1449" s="3"/>
      <c r="E1449" s="3"/>
      <c r="F1449" s="3"/>
      <c r="G1449" s="3"/>
      <c r="H1449" s="3"/>
      <c r="I1449" s="5"/>
      <c r="J1449" s="3"/>
      <c r="K1449" s="3"/>
      <c r="L1449" s="3"/>
      <c r="M1449" s="3"/>
      <c r="N1449" s="16"/>
      <c r="O1449" s="3"/>
      <c r="P1449" s="3"/>
      <c r="Q1449" s="3"/>
      <c r="R1449" s="3"/>
      <c r="S1449" s="3"/>
      <c r="T1449" s="3"/>
      <c r="U1449" s="3"/>
      <c r="V1449" s="3"/>
    </row>
    <row r="1450" spans="1:22" ht="31.5" x14ac:dyDescent="0.5">
      <c r="A1450" s="3"/>
      <c r="B1450" s="3"/>
      <c r="C1450" s="3"/>
      <c r="D1450" s="3"/>
      <c r="E1450" s="3"/>
      <c r="F1450" s="3"/>
      <c r="G1450" s="3"/>
      <c r="H1450" s="3"/>
      <c r="I1450" s="5"/>
      <c r="J1450" s="3"/>
      <c r="K1450" s="3"/>
      <c r="L1450" s="3"/>
      <c r="M1450" s="3"/>
      <c r="N1450" s="16"/>
      <c r="O1450" s="3"/>
      <c r="P1450" s="3"/>
      <c r="Q1450" s="3"/>
      <c r="R1450" s="3"/>
      <c r="S1450" s="3"/>
      <c r="T1450" s="3"/>
      <c r="U1450" s="3"/>
      <c r="V1450" s="3"/>
    </row>
    <row r="1451" spans="1:22" ht="31.5" x14ac:dyDescent="0.5">
      <c r="A1451" s="3"/>
      <c r="B1451" s="3"/>
      <c r="C1451" s="3"/>
      <c r="D1451" s="3"/>
      <c r="E1451" s="3"/>
      <c r="F1451" s="3"/>
      <c r="G1451" s="3"/>
      <c r="H1451" s="3"/>
      <c r="I1451" s="5"/>
      <c r="J1451" s="3"/>
      <c r="K1451" s="3"/>
      <c r="L1451" s="3"/>
      <c r="M1451" s="3"/>
      <c r="N1451" s="16"/>
      <c r="O1451" s="3"/>
      <c r="P1451" s="3"/>
      <c r="Q1451" s="3"/>
      <c r="R1451" s="3"/>
      <c r="S1451" s="3"/>
      <c r="T1451" s="3"/>
      <c r="U1451" s="3"/>
      <c r="V1451" s="3"/>
    </row>
    <row r="1452" spans="1:22" ht="31.5" x14ac:dyDescent="0.5">
      <c r="A1452" s="3"/>
      <c r="B1452" s="3"/>
      <c r="C1452" s="3"/>
      <c r="D1452" s="3"/>
      <c r="E1452" s="3"/>
      <c r="F1452" s="3"/>
      <c r="G1452" s="3"/>
      <c r="H1452" s="3"/>
      <c r="I1452" s="5"/>
      <c r="J1452" s="3"/>
      <c r="K1452" s="3"/>
      <c r="L1452" s="3"/>
      <c r="M1452" s="3"/>
      <c r="N1452" s="16"/>
      <c r="O1452" s="3"/>
      <c r="P1452" s="3"/>
      <c r="Q1452" s="3"/>
      <c r="R1452" s="3"/>
      <c r="S1452" s="3"/>
      <c r="T1452" s="3"/>
      <c r="U1452" s="3"/>
      <c r="V1452" s="3"/>
    </row>
    <row r="1453" spans="1:22" ht="31.5" x14ac:dyDescent="0.5">
      <c r="A1453" s="3"/>
      <c r="B1453" s="3"/>
      <c r="C1453" s="3"/>
      <c r="D1453" s="3"/>
      <c r="E1453" s="3"/>
      <c r="F1453" s="3"/>
      <c r="G1453" s="3"/>
      <c r="H1453" s="3"/>
      <c r="I1453" s="5"/>
      <c r="J1453" s="3"/>
      <c r="K1453" s="3"/>
      <c r="L1453" s="3"/>
      <c r="M1453" s="3"/>
      <c r="N1453" s="16"/>
      <c r="O1453" s="3"/>
      <c r="P1453" s="3"/>
      <c r="Q1453" s="3"/>
      <c r="R1453" s="3"/>
      <c r="S1453" s="3"/>
      <c r="T1453" s="3"/>
      <c r="U1453" s="3"/>
      <c r="V1453" s="3"/>
    </row>
    <row r="1454" spans="1:22" ht="31.5" x14ac:dyDescent="0.5">
      <c r="A1454" s="3"/>
      <c r="B1454" s="3"/>
      <c r="C1454" s="3"/>
      <c r="D1454" s="3"/>
      <c r="E1454" s="3"/>
      <c r="F1454" s="3"/>
      <c r="G1454" s="3"/>
      <c r="H1454" s="3"/>
      <c r="I1454" s="5"/>
      <c r="J1454" s="3"/>
      <c r="K1454" s="3"/>
      <c r="L1454" s="3"/>
      <c r="M1454" s="3"/>
      <c r="N1454" s="16"/>
      <c r="O1454" s="3"/>
      <c r="P1454" s="3"/>
      <c r="Q1454" s="3"/>
      <c r="R1454" s="3"/>
      <c r="S1454" s="3"/>
      <c r="T1454" s="3"/>
      <c r="U1454" s="3"/>
      <c r="V1454" s="3"/>
    </row>
    <row r="1455" spans="1:22" ht="31.5" x14ac:dyDescent="0.5">
      <c r="A1455" s="3"/>
      <c r="B1455" s="3"/>
      <c r="C1455" s="3"/>
      <c r="D1455" s="3"/>
      <c r="E1455" s="3"/>
      <c r="F1455" s="3"/>
      <c r="G1455" s="3"/>
      <c r="H1455" s="3"/>
      <c r="I1455" s="5"/>
      <c r="J1455" s="3"/>
      <c r="K1455" s="3"/>
      <c r="L1455" s="3"/>
      <c r="M1455" s="3"/>
      <c r="N1455" s="16"/>
      <c r="O1455" s="3"/>
      <c r="P1455" s="3"/>
      <c r="Q1455" s="3"/>
      <c r="R1455" s="3"/>
      <c r="S1455" s="3"/>
      <c r="T1455" s="3"/>
      <c r="U1455" s="3"/>
      <c r="V1455" s="3"/>
    </row>
    <row r="1456" spans="1:22" ht="31.5" x14ac:dyDescent="0.5">
      <c r="A1456" s="3"/>
      <c r="B1456" s="3"/>
      <c r="C1456" s="3"/>
      <c r="D1456" s="3"/>
      <c r="E1456" s="3"/>
      <c r="F1456" s="3"/>
      <c r="G1456" s="3"/>
      <c r="H1456" s="3"/>
      <c r="I1456" s="5"/>
      <c r="J1456" s="3"/>
      <c r="K1456" s="3"/>
      <c r="L1456" s="3"/>
      <c r="M1456" s="3"/>
      <c r="N1456" s="16"/>
      <c r="O1456" s="3"/>
      <c r="P1456" s="3"/>
      <c r="Q1456" s="3"/>
      <c r="R1456" s="3"/>
      <c r="S1456" s="3"/>
      <c r="T1456" s="3"/>
      <c r="U1456" s="3"/>
      <c r="V1456" s="3"/>
    </row>
    <row r="1457" spans="1:22" ht="31.5" x14ac:dyDescent="0.5">
      <c r="A1457" s="3"/>
      <c r="B1457" s="3"/>
      <c r="C1457" s="3"/>
      <c r="D1457" s="3"/>
      <c r="E1457" s="3"/>
      <c r="F1457" s="3"/>
      <c r="G1457" s="3"/>
      <c r="H1457" s="3"/>
      <c r="I1457" s="5"/>
      <c r="J1457" s="3"/>
      <c r="K1457" s="3"/>
      <c r="L1457" s="3"/>
      <c r="M1457" s="3"/>
      <c r="N1457" s="16"/>
      <c r="O1457" s="3"/>
      <c r="P1457" s="3"/>
      <c r="Q1457" s="3"/>
      <c r="R1457" s="3"/>
      <c r="S1457" s="3"/>
      <c r="T1457" s="3"/>
      <c r="U1457" s="3"/>
      <c r="V1457" s="3"/>
    </row>
    <row r="1458" spans="1:22" ht="31.5" x14ac:dyDescent="0.5">
      <c r="A1458" s="3"/>
      <c r="B1458" s="3"/>
      <c r="C1458" s="3"/>
      <c r="D1458" s="3"/>
      <c r="E1458" s="3"/>
      <c r="F1458" s="3"/>
      <c r="G1458" s="3"/>
      <c r="H1458" s="3"/>
      <c r="I1458" s="5"/>
      <c r="J1458" s="3"/>
      <c r="K1458" s="3"/>
      <c r="L1458" s="3"/>
      <c r="M1458" s="3"/>
      <c r="N1458" s="16"/>
      <c r="O1458" s="3"/>
      <c r="P1458" s="3"/>
      <c r="Q1458" s="3"/>
      <c r="R1458" s="3"/>
      <c r="S1458" s="3"/>
      <c r="T1458" s="3"/>
      <c r="U1458" s="3"/>
      <c r="V1458" s="3"/>
    </row>
    <row r="1459" spans="1:22" ht="31.5" x14ac:dyDescent="0.5">
      <c r="A1459" s="3"/>
      <c r="B1459" s="3"/>
      <c r="C1459" s="3"/>
      <c r="D1459" s="3"/>
      <c r="E1459" s="3"/>
      <c r="F1459" s="3"/>
      <c r="G1459" s="3"/>
      <c r="H1459" s="3"/>
      <c r="I1459" s="5"/>
      <c r="J1459" s="3"/>
      <c r="K1459" s="3"/>
      <c r="L1459" s="3"/>
      <c r="M1459" s="3"/>
      <c r="N1459" s="16"/>
      <c r="O1459" s="3"/>
      <c r="P1459" s="3"/>
      <c r="Q1459" s="3"/>
      <c r="R1459" s="3"/>
      <c r="S1459" s="3"/>
      <c r="T1459" s="3"/>
      <c r="U1459" s="3"/>
      <c r="V1459" s="3"/>
    </row>
    <row r="1460" spans="1:22" ht="31.5" x14ac:dyDescent="0.5">
      <c r="A1460" s="3"/>
      <c r="B1460" s="3"/>
      <c r="C1460" s="3"/>
      <c r="D1460" s="3"/>
      <c r="E1460" s="3"/>
      <c r="F1460" s="3"/>
      <c r="G1460" s="3"/>
      <c r="H1460" s="3"/>
      <c r="I1460" s="5"/>
      <c r="J1460" s="3"/>
      <c r="K1460" s="3"/>
      <c r="L1460" s="3"/>
      <c r="M1460" s="3"/>
      <c r="N1460" s="16"/>
      <c r="O1460" s="3"/>
      <c r="P1460" s="3"/>
      <c r="Q1460" s="3"/>
      <c r="R1460" s="3"/>
      <c r="S1460" s="3"/>
      <c r="T1460" s="3"/>
      <c r="U1460" s="3"/>
      <c r="V1460" s="3"/>
    </row>
    <row r="1461" spans="1:22" ht="31.5" x14ac:dyDescent="0.5">
      <c r="A1461" s="3"/>
      <c r="B1461" s="3"/>
      <c r="C1461" s="3"/>
      <c r="D1461" s="3"/>
      <c r="E1461" s="3"/>
      <c r="F1461" s="3"/>
      <c r="G1461" s="3"/>
      <c r="H1461" s="3"/>
      <c r="I1461" s="5"/>
      <c r="J1461" s="3"/>
      <c r="K1461" s="3"/>
      <c r="L1461" s="3"/>
      <c r="M1461" s="3"/>
      <c r="N1461" s="16"/>
      <c r="O1461" s="3"/>
      <c r="P1461" s="3"/>
      <c r="Q1461" s="3"/>
      <c r="R1461" s="3"/>
      <c r="S1461" s="3"/>
      <c r="T1461" s="3"/>
      <c r="U1461" s="3"/>
      <c r="V1461" s="3"/>
    </row>
    <row r="1462" spans="1:22" ht="31.5" x14ac:dyDescent="0.5">
      <c r="A1462" s="3"/>
      <c r="B1462" s="3"/>
      <c r="C1462" s="3"/>
      <c r="D1462" s="3"/>
      <c r="E1462" s="3"/>
      <c r="F1462" s="3"/>
      <c r="G1462" s="3"/>
      <c r="H1462" s="3"/>
      <c r="I1462" s="5"/>
      <c r="J1462" s="3"/>
      <c r="K1462" s="3"/>
      <c r="L1462" s="3"/>
      <c r="M1462" s="3"/>
      <c r="N1462" s="16"/>
      <c r="O1462" s="3"/>
      <c r="P1462" s="3"/>
      <c r="Q1462" s="3"/>
      <c r="R1462" s="3"/>
      <c r="S1462" s="3"/>
      <c r="T1462" s="3"/>
      <c r="U1462" s="3"/>
      <c r="V1462" s="3"/>
    </row>
    <row r="1463" spans="1:22" ht="31.5" x14ac:dyDescent="0.5">
      <c r="A1463" s="3"/>
      <c r="B1463" s="3"/>
      <c r="C1463" s="3"/>
      <c r="D1463" s="3"/>
      <c r="E1463" s="3"/>
      <c r="F1463" s="3"/>
      <c r="G1463" s="3"/>
      <c r="H1463" s="3"/>
      <c r="I1463" s="5"/>
      <c r="J1463" s="3"/>
      <c r="K1463" s="3"/>
      <c r="L1463" s="3"/>
      <c r="M1463" s="3"/>
      <c r="N1463" s="16"/>
      <c r="O1463" s="3"/>
      <c r="P1463" s="3"/>
      <c r="Q1463" s="3"/>
      <c r="R1463" s="3"/>
      <c r="S1463" s="3"/>
      <c r="T1463" s="3"/>
      <c r="U1463" s="3"/>
      <c r="V1463" s="3"/>
    </row>
    <row r="1464" spans="1:22" ht="31.5" x14ac:dyDescent="0.5">
      <c r="A1464" s="3"/>
      <c r="B1464" s="3"/>
      <c r="C1464" s="3"/>
      <c r="D1464" s="3"/>
      <c r="E1464" s="3"/>
      <c r="F1464" s="3"/>
      <c r="G1464" s="3"/>
      <c r="H1464" s="3"/>
      <c r="I1464" s="5"/>
      <c r="J1464" s="3"/>
      <c r="K1464" s="3"/>
      <c r="L1464" s="3"/>
      <c r="M1464" s="3"/>
      <c r="N1464" s="16"/>
      <c r="O1464" s="3"/>
      <c r="P1464" s="3"/>
      <c r="Q1464" s="3"/>
      <c r="R1464" s="3"/>
      <c r="S1464" s="3"/>
      <c r="T1464" s="3"/>
      <c r="U1464" s="3"/>
      <c r="V1464" s="3"/>
    </row>
    <row r="1465" spans="1:22" ht="31.5" x14ac:dyDescent="0.5">
      <c r="A1465" s="3"/>
      <c r="B1465" s="3"/>
      <c r="C1465" s="3"/>
      <c r="D1465" s="3"/>
      <c r="E1465" s="3"/>
      <c r="F1465" s="3"/>
      <c r="G1465" s="3"/>
      <c r="H1465" s="3"/>
      <c r="I1465" s="5"/>
      <c r="J1465" s="3"/>
      <c r="K1465" s="3"/>
      <c r="L1465" s="3"/>
      <c r="M1465" s="3"/>
      <c r="N1465" s="16"/>
      <c r="O1465" s="3"/>
      <c r="P1465" s="3"/>
      <c r="Q1465" s="3"/>
      <c r="R1465" s="3"/>
      <c r="S1465" s="3"/>
      <c r="T1465" s="3"/>
      <c r="U1465" s="3"/>
      <c r="V1465" s="3"/>
    </row>
    <row r="1466" spans="1:22" ht="31.5" x14ac:dyDescent="0.5">
      <c r="A1466" s="3"/>
      <c r="B1466" s="3"/>
      <c r="C1466" s="3"/>
      <c r="D1466" s="3"/>
      <c r="E1466" s="3"/>
      <c r="F1466" s="3"/>
      <c r="G1466" s="3"/>
      <c r="H1466" s="3"/>
      <c r="I1466" s="5"/>
      <c r="J1466" s="3"/>
      <c r="K1466" s="3"/>
      <c r="L1466" s="3"/>
      <c r="M1466" s="3"/>
      <c r="N1466" s="16"/>
      <c r="O1466" s="3"/>
      <c r="P1466" s="3"/>
      <c r="Q1466" s="3"/>
      <c r="R1466" s="3"/>
      <c r="S1466" s="3"/>
      <c r="T1466" s="3"/>
      <c r="U1466" s="3"/>
      <c r="V1466" s="3"/>
    </row>
    <row r="1467" spans="1:22" ht="31.5" x14ac:dyDescent="0.5">
      <c r="A1467" s="3"/>
      <c r="B1467" s="3"/>
      <c r="C1467" s="3"/>
      <c r="D1467" s="3"/>
      <c r="E1467" s="3"/>
      <c r="F1467" s="3"/>
      <c r="G1467" s="3"/>
      <c r="H1467" s="3"/>
      <c r="I1467" s="5"/>
      <c r="J1467" s="3"/>
      <c r="K1467" s="3"/>
      <c r="L1467" s="3"/>
      <c r="M1467" s="3"/>
      <c r="N1467" s="16"/>
      <c r="O1467" s="3"/>
      <c r="P1467" s="3"/>
      <c r="Q1467" s="3"/>
      <c r="R1467" s="3"/>
      <c r="S1467" s="3"/>
      <c r="T1467" s="3"/>
      <c r="U1467" s="3"/>
      <c r="V1467" s="3"/>
    </row>
    <row r="1468" spans="1:22" ht="31.5" x14ac:dyDescent="0.5">
      <c r="A1468" s="3"/>
      <c r="B1468" s="3"/>
      <c r="C1468" s="3"/>
      <c r="D1468" s="3"/>
      <c r="E1468" s="3"/>
      <c r="F1468" s="3"/>
      <c r="G1468" s="3"/>
      <c r="H1468" s="3"/>
      <c r="I1468" s="5"/>
      <c r="J1468" s="3"/>
      <c r="K1468" s="3"/>
      <c r="L1468" s="3"/>
      <c r="M1468" s="3"/>
      <c r="N1468" s="16"/>
      <c r="O1468" s="3"/>
      <c r="P1468" s="3"/>
      <c r="Q1468" s="3"/>
      <c r="R1468" s="3"/>
      <c r="S1468" s="3"/>
      <c r="T1468" s="3"/>
      <c r="U1468" s="3"/>
      <c r="V1468" s="3"/>
    </row>
    <row r="1469" spans="1:22" ht="31.5" x14ac:dyDescent="0.5">
      <c r="A1469" s="3"/>
      <c r="B1469" s="3"/>
      <c r="C1469" s="3"/>
      <c r="D1469" s="3"/>
      <c r="E1469" s="3"/>
      <c r="F1469" s="3"/>
      <c r="G1469" s="3"/>
      <c r="H1469" s="3"/>
      <c r="I1469" s="5"/>
      <c r="J1469" s="3"/>
      <c r="K1469" s="3"/>
      <c r="L1469" s="3"/>
      <c r="M1469" s="3"/>
      <c r="N1469" s="16"/>
      <c r="O1469" s="3"/>
      <c r="P1469" s="3"/>
      <c r="Q1469" s="3"/>
      <c r="R1469" s="3"/>
      <c r="S1469" s="3"/>
      <c r="T1469" s="3"/>
      <c r="U1469" s="3"/>
      <c r="V1469" s="3"/>
    </row>
    <row r="1470" spans="1:22" ht="31.5" x14ac:dyDescent="0.5">
      <c r="A1470" s="3"/>
      <c r="B1470" s="3"/>
      <c r="C1470" s="3"/>
      <c r="D1470" s="3"/>
      <c r="E1470" s="3"/>
      <c r="F1470" s="3"/>
      <c r="G1470" s="3"/>
      <c r="H1470" s="3"/>
      <c r="I1470" s="5"/>
      <c r="J1470" s="3"/>
      <c r="K1470" s="3"/>
      <c r="L1470" s="3"/>
      <c r="M1470" s="3"/>
      <c r="N1470" s="16"/>
      <c r="O1470" s="3"/>
      <c r="P1470" s="3"/>
      <c r="Q1470" s="3"/>
      <c r="R1470" s="3"/>
      <c r="S1470" s="3"/>
      <c r="T1470" s="3"/>
      <c r="U1470" s="3"/>
      <c r="V1470" s="3"/>
    </row>
    <row r="1471" spans="1:22" ht="31.5" x14ac:dyDescent="0.5">
      <c r="A1471" s="3"/>
      <c r="B1471" s="3"/>
      <c r="C1471" s="3"/>
      <c r="D1471" s="3"/>
      <c r="E1471" s="3"/>
      <c r="F1471" s="3"/>
      <c r="G1471" s="3"/>
      <c r="H1471" s="3"/>
      <c r="I1471" s="5"/>
      <c r="J1471" s="3"/>
      <c r="K1471" s="3"/>
      <c r="L1471" s="3"/>
      <c r="M1471" s="3"/>
      <c r="N1471" s="16"/>
      <c r="O1471" s="3"/>
      <c r="P1471" s="3"/>
      <c r="Q1471" s="3"/>
      <c r="R1471" s="3"/>
      <c r="S1471" s="3"/>
      <c r="T1471" s="3"/>
      <c r="U1471" s="3"/>
      <c r="V1471" s="3"/>
    </row>
    <row r="1472" spans="1:22" ht="31.5" x14ac:dyDescent="0.5">
      <c r="A1472" s="3"/>
      <c r="B1472" s="3"/>
      <c r="C1472" s="3"/>
      <c r="D1472" s="3"/>
      <c r="E1472" s="3"/>
      <c r="F1472" s="3"/>
      <c r="G1472" s="3"/>
      <c r="H1472" s="3"/>
      <c r="I1472" s="5"/>
      <c r="J1472" s="3"/>
      <c r="K1472" s="3"/>
      <c r="L1472" s="3"/>
      <c r="M1472" s="3"/>
      <c r="N1472" s="16"/>
      <c r="O1472" s="3"/>
      <c r="P1472" s="3"/>
      <c r="Q1472" s="3"/>
      <c r="R1472" s="3"/>
      <c r="S1472" s="3"/>
      <c r="T1472" s="3"/>
      <c r="U1472" s="3"/>
      <c r="V1472" s="3"/>
    </row>
    <row r="1473" spans="1:22" ht="31.5" x14ac:dyDescent="0.5">
      <c r="A1473" s="3"/>
      <c r="B1473" s="3"/>
      <c r="C1473" s="3"/>
      <c r="D1473" s="3"/>
      <c r="E1473" s="3"/>
      <c r="F1473" s="3"/>
      <c r="G1473" s="3"/>
      <c r="H1473" s="3"/>
      <c r="I1473" s="5"/>
      <c r="J1473" s="3"/>
      <c r="K1473" s="3"/>
      <c r="L1473" s="3"/>
      <c r="M1473" s="3"/>
      <c r="N1473" s="16"/>
      <c r="O1473" s="3"/>
      <c r="P1473" s="3"/>
      <c r="Q1473" s="3"/>
      <c r="R1473" s="3"/>
      <c r="S1473" s="3"/>
      <c r="T1473" s="3"/>
      <c r="U1473" s="3"/>
      <c r="V1473" s="3"/>
    </row>
    <row r="1474" spans="1:22" ht="31.5" x14ac:dyDescent="0.5">
      <c r="A1474" s="3"/>
      <c r="B1474" s="3"/>
      <c r="C1474" s="3"/>
      <c r="D1474" s="3"/>
      <c r="E1474" s="3"/>
      <c r="F1474" s="3"/>
      <c r="G1474" s="3"/>
      <c r="H1474" s="3"/>
      <c r="I1474" s="5"/>
      <c r="J1474" s="3"/>
      <c r="K1474" s="3"/>
      <c r="L1474" s="3"/>
      <c r="M1474" s="3"/>
      <c r="N1474" s="16"/>
      <c r="O1474" s="3"/>
      <c r="P1474" s="3"/>
      <c r="Q1474" s="3"/>
      <c r="R1474" s="3"/>
      <c r="S1474" s="3"/>
      <c r="T1474" s="3"/>
      <c r="U1474" s="3"/>
      <c r="V1474" s="3"/>
    </row>
    <row r="1475" spans="1:22" ht="31.5" x14ac:dyDescent="0.5">
      <c r="A1475" s="3"/>
      <c r="B1475" s="3"/>
      <c r="C1475" s="3"/>
      <c r="D1475" s="3"/>
      <c r="E1475" s="3"/>
      <c r="F1475" s="3"/>
      <c r="G1475" s="3"/>
      <c r="H1475" s="3"/>
      <c r="I1475" s="5"/>
      <c r="J1475" s="3"/>
      <c r="K1475" s="3"/>
      <c r="L1475" s="3"/>
      <c r="M1475" s="3"/>
      <c r="N1475" s="16"/>
    </row>
    <row r="1476" spans="1:22" ht="31.5" x14ac:dyDescent="0.5">
      <c r="A1476" s="3"/>
      <c r="B1476" s="3"/>
      <c r="C1476" s="3"/>
      <c r="D1476" s="3"/>
      <c r="E1476" s="3"/>
      <c r="F1476" s="3"/>
      <c r="G1476" s="3"/>
      <c r="H1476" s="3"/>
      <c r="I1476" s="5"/>
      <c r="J1476" s="3"/>
      <c r="K1476" s="3"/>
      <c r="L1476" s="3"/>
      <c r="M1476" s="3"/>
      <c r="N1476" s="16"/>
    </row>
    <row r="1477" spans="1:22" ht="31.5" x14ac:dyDescent="0.5">
      <c r="A1477" s="3"/>
      <c r="B1477" s="3"/>
      <c r="C1477" s="3"/>
      <c r="D1477" s="3"/>
      <c r="E1477" s="3"/>
      <c r="F1477" s="3"/>
      <c r="G1477" s="3"/>
      <c r="H1477" s="3"/>
      <c r="I1477" s="5"/>
      <c r="J1477" s="3"/>
      <c r="K1477" s="3"/>
      <c r="L1477" s="3"/>
      <c r="M1477" s="3"/>
      <c r="N1477" s="16"/>
    </row>
    <row r="1478" spans="1:22" ht="31.5" x14ac:dyDescent="0.5">
      <c r="A1478" s="3"/>
      <c r="B1478" s="3"/>
      <c r="C1478" s="3"/>
      <c r="D1478" s="3"/>
      <c r="E1478" s="3"/>
      <c r="F1478" s="3"/>
      <c r="G1478" s="3"/>
      <c r="H1478" s="3"/>
      <c r="I1478" s="5"/>
      <c r="J1478" s="3"/>
      <c r="K1478" s="3"/>
      <c r="L1478" s="3"/>
      <c r="M1478" s="3"/>
      <c r="N1478" s="16"/>
    </row>
    <row r="1479" spans="1:22" ht="31.5" x14ac:dyDescent="0.5">
      <c r="A1479" s="3"/>
      <c r="B1479" s="3"/>
      <c r="C1479" s="3"/>
      <c r="D1479" s="3"/>
      <c r="E1479" s="3"/>
      <c r="F1479" s="3"/>
      <c r="G1479" s="3"/>
      <c r="H1479" s="3"/>
      <c r="I1479" s="5"/>
      <c r="J1479" s="3"/>
      <c r="K1479" s="3"/>
      <c r="L1479" s="3"/>
      <c r="M1479" s="3"/>
      <c r="N1479" s="16"/>
    </row>
    <row r="1480" spans="1:22" ht="31.5" x14ac:dyDescent="0.5">
      <c r="A1480" s="3"/>
      <c r="B1480" s="3"/>
      <c r="C1480" s="3"/>
      <c r="D1480" s="3"/>
      <c r="E1480" s="3"/>
      <c r="F1480" s="3"/>
      <c r="G1480" s="3"/>
      <c r="H1480" s="3"/>
      <c r="I1480" s="5"/>
      <c r="J1480" s="3"/>
      <c r="K1480" s="3"/>
      <c r="L1480" s="3"/>
      <c r="M1480" s="3"/>
      <c r="N1480" s="16"/>
    </row>
    <row r="1481" spans="1:22" ht="31.5" x14ac:dyDescent="0.5">
      <c r="A1481" s="3"/>
      <c r="B1481" s="3"/>
      <c r="C1481" s="3"/>
      <c r="D1481" s="3"/>
      <c r="E1481" s="3"/>
      <c r="F1481" s="3"/>
      <c r="G1481" s="3"/>
      <c r="H1481" s="3"/>
      <c r="I1481" s="5"/>
      <c r="J1481" s="3"/>
      <c r="K1481" s="3"/>
      <c r="L1481" s="3"/>
      <c r="M1481" s="3"/>
      <c r="N1481" s="16"/>
    </row>
    <row r="1482" spans="1:22" ht="31.5" x14ac:dyDescent="0.5">
      <c r="A1482" s="3"/>
      <c r="B1482" s="3"/>
      <c r="C1482" s="3"/>
      <c r="D1482" s="3"/>
      <c r="E1482" s="3"/>
      <c r="F1482" s="3"/>
      <c r="G1482" s="3"/>
      <c r="H1482" s="3"/>
      <c r="I1482" s="5"/>
      <c r="J1482" s="3"/>
      <c r="K1482" s="3"/>
      <c r="L1482" s="3"/>
      <c r="M1482" s="3"/>
      <c r="N1482" s="16"/>
    </row>
    <row r="1483" spans="1:22" ht="31.5" x14ac:dyDescent="0.5">
      <c r="A1483" s="3"/>
      <c r="B1483" s="3"/>
      <c r="C1483" s="3"/>
      <c r="D1483" s="3"/>
      <c r="E1483" s="3"/>
      <c r="F1483" s="3"/>
      <c r="G1483" s="3"/>
      <c r="H1483" s="3"/>
      <c r="I1483" s="5"/>
      <c r="J1483" s="3"/>
      <c r="K1483" s="3"/>
      <c r="L1483" s="3"/>
      <c r="M1483" s="3"/>
      <c r="N1483" s="16"/>
    </row>
    <row r="1484" spans="1:22" ht="31.5" x14ac:dyDescent="0.5">
      <c r="A1484" s="3"/>
      <c r="B1484" s="3"/>
      <c r="C1484" s="3"/>
      <c r="D1484" s="3"/>
      <c r="E1484" s="3"/>
      <c r="F1484" s="3"/>
      <c r="G1484" s="3"/>
      <c r="H1484" s="3"/>
      <c r="I1484" s="5"/>
      <c r="J1484" s="3"/>
      <c r="K1484" s="3"/>
      <c r="L1484" s="3"/>
      <c r="M1484" s="3"/>
      <c r="N1484" s="16"/>
    </row>
    <row r="1485" spans="1:22" ht="31.5" x14ac:dyDescent="0.5">
      <c r="A1485" s="3"/>
      <c r="B1485" s="3"/>
      <c r="C1485" s="3"/>
      <c r="D1485" s="3"/>
      <c r="E1485" s="3"/>
      <c r="F1485" s="3"/>
      <c r="G1485" s="3"/>
      <c r="H1485" s="3"/>
      <c r="I1485" s="5"/>
      <c r="J1485" s="3"/>
      <c r="K1485" s="3"/>
      <c r="L1485" s="3"/>
      <c r="M1485" s="3"/>
    </row>
    <row r="1486" spans="1:22" ht="31.5" x14ac:dyDescent="0.5">
      <c r="A1486" s="3"/>
      <c r="B1486" s="3"/>
      <c r="C1486" s="3"/>
      <c r="D1486" s="3"/>
      <c r="E1486" s="3"/>
      <c r="F1486" s="3"/>
      <c r="G1486" s="3"/>
      <c r="H1486" s="3"/>
      <c r="I1486" s="5"/>
      <c r="J1486" s="3"/>
      <c r="K1486" s="3"/>
      <c r="L1486" s="3"/>
      <c r="M1486" s="3"/>
    </row>
    <row r="1487" spans="1:22" ht="31.5" x14ac:dyDescent="0.5">
      <c r="A1487" s="3"/>
      <c r="B1487" s="3"/>
      <c r="C1487" s="3"/>
      <c r="D1487" s="3"/>
      <c r="E1487" s="3"/>
      <c r="F1487" s="3"/>
      <c r="G1487" s="3"/>
      <c r="H1487" s="3"/>
      <c r="I1487" s="5"/>
      <c r="J1487" s="3"/>
      <c r="K1487" s="3"/>
      <c r="L1487" s="3"/>
      <c r="M1487" s="3"/>
    </row>
    <row r="1488" spans="1:22" ht="31.5" x14ac:dyDescent="0.5">
      <c r="A1488" s="3"/>
      <c r="B1488" s="3"/>
      <c r="C1488" s="3"/>
      <c r="D1488" s="3"/>
      <c r="E1488" s="3"/>
      <c r="F1488" s="3"/>
      <c r="G1488" s="3"/>
      <c r="H1488" s="3"/>
      <c r="I1488" s="5"/>
      <c r="J1488" s="3"/>
      <c r="K1488" s="3"/>
      <c r="L1488" s="3"/>
      <c r="M1488" s="3"/>
    </row>
    <row r="1489" spans="1:13" ht="31.5" x14ac:dyDescent="0.5">
      <c r="A1489" s="3"/>
      <c r="B1489" s="3"/>
      <c r="C1489" s="3"/>
      <c r="D1489" s="3"/>
      <c r="E1489" s="3"/>
      <c r="F1489" s="3"/>
      <c r="G1489" s="3"/>
      <c r="H1489" s="3"/>
      <c r="I1489" s="5"/>
      <c r="J1489" s="3"/>
      <c r="K1489" s="3"/>
      <c r="L1489" s="3"/>
      <c r="M1489" s="3"/>
    </row>
    <row r="1490" spans="1:13" ht="31.5" x14ac:dyDescent="0.5">
      <c r="A1490" s="3"/>
      <c r="B1490" s="3"/>
      <c r="C1490" s="3"/>
      <c r="D1490" s="3"/>
      <c r="E1490" s="3"/>
      <c r="F1490" s="3"/>
      <c r="G1490" s="3"/>
      <c r="H1490" s="3"/>
      <c r="I1490" s="5"/>
      <c r="J1490" s="3"/>
      <c r="K1490" s="3"/>
      <c r="L1490" s="3"/>
      <c r="M1490" s="3"/>
    </row>
    <row r="1491" spans="1:13" ht="31.5" x14ac:dyDescent="0.5">
      <c r="A1491" s="3"/>
      <c r="B1491" s="3"/>
      <c r="C1491" s="3"/>
      <c r="D1491" s="3"/>
      <c r="E1491" s="3"/>
      <c r="F1491" s="3"/>
      <c r="G1491" s="3"/>
      <c r="H1491" s="3"/>
      <c r="I1491" s="5"/>
      <c r="J1491" s="3"/>
      <c r="K1491" s="3"/>
      <c r="L1491" s="3"/>
      <c r="M1491" s="3"/>
    </row>
    <row r="1492" spans="1:13" ht="31.5" x14ac:dyDescent="0.5">
      <c r="A1492" s="3"/>
      <c r="B1492" s="3"/>
      <c r="C1492" s="3"/>
      <c r="D1492" s="3"/>
      <c r="E1492" s="3"/>
      <c r="F1492" s="3"/>
      <c r="G1492" s="3"/>
      <c r="H1492" s="3"/>
      <c r="I1492" s="5"/>
      <c r="J1492" s="3"/>
      <c r="K1492" s="3"/>
      <c r="L1492" s="3"/>
      <c r="M1492" s="3"/>
    </row>
    <row r="1493" spans="1:13" ht="31.5" x14ac:dyDescent="0.5">
      <c r="A1493" s="3"/>
      <c r="B1493" s="3"/>
      <c r="C1493" s="3"/>
      <c r="D1493" s="3"/>
      <c r="E1493" s="3"/>
      <c r="F1493" s="3"/>
      <c r="G1493" s="3"/>
      <c r="H1493" s="3"/>
      <c r="I1493" s="5"/>
      <c r="J1493" s="3"/>
      <c r="K1493" s="3"/>
      <c r="L1493" s="3"/>
      <c r="M1493" s="3"/>
    </row>
    <row r="1494" spans="1:13" ht="31.5" x14ac:dyDescent="0.5">
      <c r="A1494" s="3"/>
      <c r="B1494" s="3"/>
      <c r="C1494" s="3"/>
      <c r="D1494" s="3"/>
      <c r="E1494" s="3"/>
      <c r="F1494" s="3"/>
      <c r="G1494" s="3"/>
      <c r="H1494" s="3"/>
      <c r="I1494" s="5"/>
      <c r="J1494" s="3"/>
      <c r="K1494" s="3"/>
      <c r="L1494" s="3"/>
      <c r="M1494" s="3"/>
    </row>
    <row r="1495" spans="1:13" ht="31.5" x14ac:dyDescent="0.5">
      <c r="A1495" s="3"/>
      <c r="B1495" s="3"/>
      <c r="C1495" s="3"/>
      <c r="D1495" s="3"/>
      <c r="E1495" s="3"/>
      <c r="F1495" s="3"/>
      <c r="G1495" s="3"/>
      <c r="H1495" s="3"/>
      <c r="I1495" s="5"/>
      <c r="J1495" s="3"/>
      <c r="K1495" s="3"/>
      <c r="L1495" s="3"/>
      <c r="M1495" s="3"/>
    </row>
    <row r="1496" spans="1:13" ht="31.5" x14ac:dyDescent="0.5">
      <c r="A1496" s="3"/>
      <c r="B1496" s="3"/>
      <c r="C1496" s="3"/>
      <c r="D1496" s="3"/>
      <c r="E1496" s="3"/>
      <c r="F1496" s="3"/>
      <c r="G1496" s="3"/>
      <c r="H1496" s="3"/>
      <c r="I1496" s="5"/>
      <c r="J1496" s="3"/>
      <c r="K1496" s="3"/>
      <c r="L1496" s="3"/>
      <c r="M1496" s="3"/>
    </row>
    <row r="1497" spans="1:13" ht="31.5" x14ac:dyDescent="0.5">
      <c r="A1497" s="3"/>
      <c r="B1497" s="3"/>
      <c r="C1497" s="3"/>
      <c r="D1497" s="3"/>
      <c r="E1497" s="3"/>
      <c r="F1497" s="3"/>
      <c r="G1497" s="3"/>
      <c r="H1497" s="3"/>
      <c r="I1497" s="5"/>
      <c r="J1497" s="3"/>
      <c r="K1497" s="3"/>
      <c r="L1497" s="3"/>
      <c r="M1497" s="3"/>
    </row>
    <row r="1498" spans="1:13" ht="31.5" x14ac:dyDescent="0.5">
      <c r="A1498" s="3"/>
      <c r="B1498" s="3"/>
      <c r="C1498" s="3"/>
      <c r="D1498" s="3"/>
      <c r="E1498" s="3"/>
      <c r="F1498" s="3"/>
      <c r="G1498" s="3"/>
      <c r="H1498" s="3"/>
      <c r="I1498" s="5"/>
      <c r="J1498" s="3"/>
      <c r="K1498" s="3"/>
      <c r="L1498" s="3"/>
      <c r="M1498" s="3"/>
    </row>
    <row r="1499" spans="1:13" ht="31.5" x14ac:dyDescent="0.5">
      <c r="A1499" s="3"/>
      <c r="B1499" s="3"/>
      <c r="C1499" s="3"/>
      <c r="D1499" s="3"/>
      <c r="E1499" s="3"/>
      <c r="F1499" s="3"/>
      <c r="G1499" s="3"/>
      <c r="H1499" s="3"/>
      <c r="I1499" s="5"/>
      <c r="J1499" s="3"/>
      <c r="K1499" s="3"/>
      <c r="L1499" s="3"/>
      <c r="M1499" s="3"/>
    </row>
    <row r="1500" spans="1:13" ht="31.5" x14ac:dyDescent="0.5">
      <c r="A1500" s="3"/>
      <c r="B1500" s="3"/>
      <c r="C1500" s="3"/>
      <c r="D1500" s="3"/>
      <c r="E1500" s="3"/>
      <c r="F1500" s="3"/>
      <c r="G1500" s="3"/>
      <c r="H1500" s="3"/>
      <c r="I1500" s="5"/>
      <c r="J1500" s="3"/>
      <c r="K1500" s="3"/>
      <c r="L1500" s="3"/>
      <c r="M1500" s="3"/>
    </row>
    <row r="1501" spans="1:13" ht="31.5" x14ac:dyDescent="0.5">
      <c r="A1501" s="3"/>
      <c r="B1501" s="3"/>
      <c r="C1501" s="3"/>
      <c r="D1501" s="3"/>
      <c r="E1501" s="3"/>
      <c r="F1501" s="3"/>
      <c r="G1501" s="3"/>
      <c r="H1501" s="3"/>
      <c r="I1501" s="5"/>
      <c r="J1501" s="3"/>
      <c r="K1501" s="3"/>
      <c r="L1501" s="3"/>
      <c r="M1501" s="3"/>
    </row>
    <row r="1502" spans="1:13" ht="31.5" x14ac:dyDescent="0.5">
      <c r="A1502" s="3"/>
      <c r="B1502" s="3"/>
      <c r="C1502" s="3"/>
      <c r="D1502" s="3"/>
      <c r="E1502" s="3"/>
      <c r="F1502" s="3"/>
      <c r="G1502" s="3"/>
      <c r="H1502" s="3"/>
      <c r="I1502" s="5"/>
      <c r="J1502" s="3"/>
      <c r="K1502" s="3"/>
      <c r="L1502" s="3"/>
      <c r="M1502" s="3"/>
    </row>
    <row r="1503" spans="1:13" ht="31.5" x14ac:dyDescent="0.5">
      <c r="A1503" s="3"/>
      <c r="B1503" s="3"/>
      <c r="C1503" s="3"/>
      <c r="D1503" s="3"/>
      <c r="E1503" s="3"/>
      <c r="F1503" s="3"/>
      <c r="G1503" s="3"/>
      <c r="H1503" s="3"/>
      <c r="I1503" s="5"/>
      <c r="J1503" s="3"/>
      <c r="K1503" s="3"/>
      <c r="L1503" s="3"/>
      <c r="M1503" s="3"/>
    </row>
    <row r="1504" spans="1:13" ht="31.5" x14ac:dyDescent="0.5">
      <c r="A1504" s="3"/>
      <c r="B1504" s="3"/>
      <c r="C1504" s="3"/>
      <c r="D1504" s="3"/>
      <c r="E1504" s="3"/>
      <c r="F1504" s="3"/>
      <c r="G1504" s="3"/>
      <c r="H1504" s="3"/>
      <c r="I1504" s="5"/>
      <c r="J1504" s="3"/>
      <c r="K1504" s="3"/>
      <c r="L1504" s="3"/>
      <c r="M1504" s="3"/>
    </row>
    <row r="1505" spans="1:13" ht="31.5" x14ac:dyDescent="0.5">
      <c r="A1505" s="3"/>
      <c r="B1505" s="3"/>
      <c r="C1505" s="3"/>
      <c r="D1505" s="3"/>
      <c r="E1505" s="3"/>
      <c r="F1505" s="3"/>
      <c r="G1505" s="3"/>
      <c r="H1505" s="3"/>
      <c r="I1505" s="5"/>
      <c r="J1505" s="3"/>
      <c r="K1505" s="3"/>
      <c r="L1505" s="3"/>
      <c r="M1505" s="3"/>
    </row>
    <row r="1506" spans="1:13" ht="31.5" x14ac:dyDescent="0.5">
      <c r="A1506" s="3"/>
      <c r="B1506" s="3"/>
      <c r="C1506" s="3"/>
      <c r="D1506" s="3"/>
      <c r="E1506" s="3"/>
      <c r="F1506" s="3"/>
      <c r="G1506" s="3"/>
      <c r="H1506" s="3"/>
      <c r="I1506" s="5"/>
      <c r="J1506" s="3"/>
      <c r="K1506" s="3"/>
      <c r="L1506" s="3"/>
      <c r="M1506" s="3"/>
    </row>
    <row r="1507" spans="1:13" ht="31.5" x14ac:dyDescent="0.5">
      <c r="A1507" s="3"/>
      <c r="B1507" s="3"/>
      <c r="C1507" s="3"/>
      <c r="D1507" s="3"/>
      <c r="E1507" s="3"/>
      <c r="F1507" s="3"/>
      <c r="G1507" s="3"/>
      <c r="H1507" s="3"/>
      <c r="I1507" s="5"/>
      <c r="J1507" s="3"/>
      <c r="K1507" s="3"/>
      <c r="L1507" s="3"/>
      <c r="M1507" s="3"/>
    </row>
    <row r="1508" spans="1:13" ht="31.5" x14ac:dyDescent="0.5">
      <c r="A1508" s="3"/>
      <c r="B1508" s="3"/>
      <c r="C1508" s="3"/>
      <c r="D1508" s="3"/>
      <c r="E1508" s="3"/>
      <c r="F1508" s="3"/>
      <c r="G1508" s="3"/>
      <c r="H1508" s="3"/>
      <c r="I1508" s="5"/>
      <c r="J1508" s="3"/>
      <c r="K1508" s="3"/>
      <c r="L1508" s="3"/>
      <c r="M1508" s="3"/>
    </row>
    <row r="1509" spans="1:13" ht="31.5" x14ac:dyDescent="0.5">
      <c r="A1509" s="3"/>
      <c r="B1509" s="3"/>
      <c r="C1509" s="3"/>
      <c r="D1509" s="3"/>
      <c r="E1509" s="3"/>
      <c r="F1509" s="3"/>
      <c r="G1509" s="3"/>
      <c r="H1509" s="3"/>
      <c r="I1509" s="5"/>
      <c r="J1509" s="3"/>
      <c r="K1509" s="3"/>
      <c r="L1509" s="3"/>
      <c r="M1509" s="3"/>
    </row>
    <row r="1510" spans="1:13" ht="31.5" x14ac:dyDescent="0.5">
      <c r="A1510" s="3"/>
      <c r="B1510" s="3"/>
      <c r="C1510" s="3"/>
      <c r="D1510" s="3"/>
      <c r="E1510" s="3"/>
      <c r="F1510" s="3"/>
      <c r="G1510" s="3"/>
      <c r="H1510" s="3"/>
      <c r="I1510" s="5"/>
      <c r="J1510" s="3"/>
      <c r="K1510" s="3"/>
      <c r="L1510" s="3"/>
      <c r="M1510" s="3"/>
    </row>
    <row r="1511" spans="1:13" ht="31.5" x14ac:dyDescent="0.5">
      <c r="A1511" s="3"/>
      <c r="B1511" s="3"/>
      <c r="C1511" s="3"/>
      <c r="D1511" s="3"/>
      <c r="E1511" s="3"/>
      <c r="F1511" s="3"/>
      <c r="G1511" s="3"/>
      <c r="H1511" s="3"/>
      <c r="I1511" s="5"/>
      <c r="J1511" s="3"/>
      <c r="K1511" s="3"/>
      <c r="L1511" s="3"/>
      <c r="M1511" s="3"/>
    </row>
    <row r="1512" spans="1:13" ht="31.5" x14ac:dyDescent="0.5">
      <c r="A1512" s="3"/>
      <c r="B1512" s="3"/>
      <c r="C1512" s="3"/>
      <c r="D1512" s="3"/>
      <c r="E1512" s="3"/>
      <c r="F1512" s="3"/>
      <c r="G1512" s="3"/>
      <c r="H1512" s="3"/>
      <c r="I1512" s="5"/>
      <c r="J1512" s="3"/>
      <c r="K1512" s="3"/>
      <c r="L1512" s="3"/>
      <c r="M1512" s="3"/>
    </row>
    <row r="1513" spans="1:13" ht="31.5" x14ac:dyDescent="0.5">
      <c r="A1513" s="3"/>
      <c r="B1513" s="3"/>
      <c r="C1513" s="3"/>
      <c r="D1513" s="3"/>
      <c r="E1513" s="3"/>
      <c r="F1513" s="3"/>
      <c r="G1513" s="3"/>
      <c r="H1513" s="3"/>
      <c r="I1513" s="5"/>
      <c r="J1513" s="3"/>
      <c r="K1513" s="3"/>
      <c r="L1513" s="3"/>
      <c r="M1513" s="3"/>
    </row>
    <row r="1514" spans="1:13" ht="31.5" x14ac:dyDescent="0.5">
      <c r="A1514" s="3"/>
      <c r="B1514" s="3"/>
      <c r="C1514" s="3"/>
      <c r="D1514" s="3"/>
      <c r="E1514" s="3"/>
      <c r="F1514" s="3"/>
      <c r="G1514" s="3"/>
      <c r="H1514" s="3"/>
      <c r="I1514" s="5"/>
      <c r="J1514" s="3"/>
      <c r="K1514" s="3"/>
      <c r="L1514" s="3"/>
      <c r="M1514" s="3"/>
    </row>
    <row r="1515" spans="1:13" ht="31.5" x14ac:dyDescent="0.5">
      <c r="A1515" s="3"/>
      <c r="B1515" s="3"/>
      <c r="C1515" s="3"/>
      <c r="D1515" s="3"/>
      <c r="E1515" s="3"/>
      <c r="F1515" s="3"/>
      <c r="G1515" s="3"/>
      <c r="H1515" s="3"/>
      <c r="I1515" s="5"/>
      <c r="J1515" s="3"/>
      <c r="K1515" s="3"/>
      <c r="L1515" s="3"/>
      <c r="M1515" s="3"/>
    </row>
    <row r="1516" spans="1:13" ht="31.5" x14ac:dyDescent="0.5">
      <c r="A1516" s="3"/>
      <c r="B1516" s="3"/>
      <c r="C1516" s="3"/>
      <c r="D1516" s="3"/>
      <c r="E1516" s="3"/>
      <c r="F1516" s="3"/>
      <c r="G1516" s="3"/>
      <c r="H1516" s="3"/>
      <c r="I1516" s="5"/>
      <c r="J1516" s="3"/>
      <c r="K1516" s="3"/>
      <c r="L1516" s="3"/>
      <c r="M1516" s="3"/>
    </row>
    <row r="1517" spans="1:13" ht="31.5" x14ac:dyDescent="0.5">
      <c r="A1517" s="3"/>
      <c r="B1517" s="3"/>
      <c r="C1517" s="3"/>
      <c r="D1517" s="3"/>
      <c r="E1517" s="3"/>
      <c r="F1517" s="3"/>
      <c r="G1517" s="3"/>
      <c r="H1517" s="3"/>
      <c r="I1517" s="5"/>
      <c r="J1517" s="3"/>
      <c r="K1517" s="3"/>
      <c r="L1517" s="3"/>
      <c r="M1517" s="3"/>
    </row>
    <row r="1518" spans="1:13" ht="31.5" x14ac:dyDescent="0.5">
      <c r="A1518" s="3"/>
      <c r="B1518" s="3"/>
      <c r="C1518" s="3"/>
      <c r="D1518" s="3"/>
      <c r="E1518" s="3"/>
      <c r="F1518" s="3"/>
      <c r="G1518" s="3"/>
      <c r="H1518" s="3"/>
      <c r="I1518" s="5"/>
      <c r="J1518" s="3"/>
      <c r="K1518" s="3"/>
      <c r="L1518" s="3"/>
      <c r="M1518" s="3"/>
    </row>
    <row r="1519" spans="1:13" ht="31.5" x14ac:dyDescent="0.5">
      <c r="A1519" s="3"/>
      <c r="B1519" s="3"/>
      <c r="C1519" s="3"/>
      <c r="D1519" s="3"/>
      <c r="E1519" s="3"/>
      <c r="F1519" s="3"/>
      <c r="G1519" s="3"/>
      <c r="H1519" s="3"/>
      <c r="I1519" s="5"/>
      <c r="J1519" s="3"/>
      <c r="K1519" s="3"/>
      <c r="L1519" s="3"/>
      <c r="M1519" s="3"/>
    </row>
    <row r="1520" spans="1:13" ht="31.5" x14ac:dyDescent="0.5">
      <c r="A1520" s="3"/>
      <c r="B1520" s="3"/>
      <c r="C1520" s="3"/>
      <c r="D1520" s="3"/>
      <c r="E1520" s="3"/>
      <c r="F1520" s="3"/>
      <c r="G1520" s="3"/>
      <c r="H1520" s="3"/>
      <c r="I1520" s="5"/>
      <c r="J1520" s="3"/>
      <c r="K1520" s="3"/>
      <c r="L1520" s="3"/>
      <c r="M1520" s="3"/>
    </row>
    <row r="1521" spans="1:13" ht="31.5" x14ac:dyDescent="0.5">
      <c r="A1521" s="3"/>
      <c r="B1521" s="3"/>
      <c r="C1521" s="3"/>
      <c r="D1521" s="3"/>
      <c r="E1521" s="3"/>
      <c r="F1521" s="3"/>
      <c r="G1521" s="3"/>
      <c r="H1521" s="3"/>
      <c r="I1521" s="5"/>
      <c r="J1521" s="3"/>
      <c r="K1521" s="3"/>
      <c r="L1521" s="3"/>
      <c r="M1521" s="3"/>
    </row>
    <row r="1522" spans="1:13" ht="31.5" x14ac:dyDescent="0.5">
      <c r="A1522" s="3"/>
      <c r="B1522" s="3"/>
      <c r="C1522" s="3"/>
      <c r="D1522" s="3"/>
      <c r="E1522" s="3"/>
      <c r="F1522" s="3"/>
      <c r="G1522" s="3"/>
      <c r="H1522" s="3"/>
      <c r="I1522" s="5"/>
      <c r="J1522" s="3"/>
      <c r="K1522" s="3"/>
      <c r="L1522" s="3"/>
      <c r="M1522" s="3"/>
    </row>
    <row r="1523" spans="1:13" ht="31.5" x14ac:dyDescent="0.5">
      <c r="A1523" s="3"/>
      <c r="B1523" s="3"/>
      <c r="C1523" s="3"/>
      <c r="D1523" s="3"/>
      <c r="E1523" s="3"/>
      <c r="F1523" s="3"/>
      <c r="G1523" s="3"/>
      <c r="H1523" s="3"/>
      <c r="I1523" s="5"/>
      <c r="J1523" s="3"/>
      <c r="K1523" s="3"/>
      <c r="L1523" s="3"/>
      <c r="M1523" s="3"/>
    </row>
    <row r="1524" spans="1:13" ht="31.5" x14ac:dyDescent="0.5">
      <c r="A1524" s="3"/>
      <c r="B1524" s="3"/>
      <c r="C1524" s="3"/>
      <c r="D1524" s="3"/>
      <c r="E1524" s="3"/>
      <c r="F1524" s="3"/>
      <c r="G1524" s="3"/>
      <c r="H1524" s="3"/>
      <c r="I1524" s="5"/>
      <c r="J1524" s="3"/>
      <c r="K1524" s="3"/>
      <c r="L1524" s="3"/>
      <c r="M1524" s="3"/>
    </row>
    <row r="1525" spans="1:13" ht="31.5" x14ac:dyDescent="0.5">
      <c r="A1525" s="3"/>
      <c r="B1525" s="3"/>
      <c r="C1525" s="3"/>
      <c r="D1525" s="3"/>
      <c r="E1525" s="3"/>
      <c r="F1525" s="3"/>
      <c r="G1525" s="3"/>
      <c r="H1525" s="3"/>
      <c r="I1525" s="5"/>
      <c r="J1525" s="3"/>
      <c r="K1525" s="3"/>
      <c r="L1525" s="3"/>
      <c r="M1525" s="3"/>
    </row>
    <row r="1526" spans="1:13" ht="31.5" x14ac:dyDescent="0.5">
      <c r="A1526" s="3"/>
      <c r="B1526" s="3"/>
      <c r="C1526" s="3"/>
      <c r="D1526" s="3"/>
      <c r="E1526" s="3"/>
      <c r="F1526" s="3"/>
      <c r="G1526" s="3"/>
      <c r="H1526" s="3"/>
      <c r="I1526" s="5"/>
      <c r="J1526" s="3"/>
      <c r="K1526" s="3"/>
      <c r="L1526" s="3"/>
      <c r="M1526" s="3"/>
    </row>
    <row r="1527" spans="1:13" ht="31.5" x14ac:dyDescent="0.5">
      <c r="A1527" s="3"/>
      <c r="B1527" s="3"/>
      <c r="C1527" s="3"/>
      <c r="D1527" s="3"/>
      <c r="E1527" s="3"/>
      <c r="F1527" s="3"/>
      <c r="G1527" s="3"/>
      <c r="H1527" s="3"/>
      <c r="I1527" s="5"/>
      <c r="J1527" s="3"/>
      <c r="K1527" s="3"/>
      <c r="L1527" s="3"/>
    </row>
  </sheetData>
  <phoneticPr fontId="11" type="noConversion"/>
  <pageMargins left="0.7" right="0.7" top="0.75" bottom="0.75" header="0.3" footer="0.3"/>
  <pageSetup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411CB5FE4497478EE9B88B8A2A237B" ma:contentTypeVersion="1" ma:contentTypeDescription="Create a new document." ma:contentTypeScope="" ma:versionID="d809ead67014965271717e813b03acf8">
  <xsd:schema xmlns:xsd="http://www.w3.org/2001/XMLSchema" xmlns:xs="http://www.w3.org/2001/XMLSchema" xmlns:p="http://schemas.microsoft.com/office/2006/metadata/properties" xmlns:ns2="3b005fd8-62d5-4927-a0f9-fdac9185221f" targetNamespace="http://schemas.microsoft.com/office/2006/metadata/properties" ma:root="true" ma:fieldsID="6d73c70ff74e0ef7258224fb6cbd8bd2" ns2:_="">
    <xsd:import namespace="3b005fd8-62d5-4927-a0f9-fdac918522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05fd8-62d5-4927-a0f9-fdac918522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b005fd8-62d5-4927-a0f9-fdac9185221f">DE6UZ2SY5E43-814243087-223</_dlc_DocId>
    <_dlc_DocIdUrl xmlns="3b005fd8-62d5-4927-a0f9-fdac9185221f">
      <Url>https://outside.vermont.gov/dept/sos/_layouts/15/DocIdRedir.aspx?ID=DE6UZ2SY5E43-814243087-223</Url>
      <Description>DE6UZ2SY5E43-814243087-223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730005-7292-4B7C-99F8-0BAD381E1AA6}"/>
</file>

<file path=customXml/itemProps2.xml><?xml version="1.0" encoding="utf-8"?>
<ds:datastoreItem xmlns:ds="http://schemas.openxmlformats.org/officeDocument/2006/customXml" ds:itemID="{D6D5AB56-1950-400E-8711-DECA02877A64}"/>
</file>

<file path=customXml/itemProps3.xml><?xml version="1.0" encoding="utf-8"?>
<ds:datastoreItem xmlns:ds="http://schemas.openxmlformats.org/officeDocument/2006/customXml" ds:itemID="{30D62ABA-87E5-4629-B19C-FBF45B98A3A5}"/>
</file>

<file path=customXml/itemProps4.xml><?xml version="1.0" encoding="utf-8"?>
<ds:datastoreItem xmlns:ds="http://schemas.openxmlformats.org/officeDocument/2006/customXml" ds:itemID="{E330BC2D-69D0-4308-AA06-3A4320B2F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Isabelle, Jean Paul</dc:creator>
  <cp:lastModifiedBy>Isabelle, JP</cp:lastModifiedBy>
  <dcterms:created xsi:type="dcterms:W3CDTF">2018-04-23T18:53:28Z</dcterms:created>
  <dcterms:modified xsi:type="dcterms:W3CDTF">2023-02-07T15:10:51Z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0x01010062411CB5FE4497478EE9B88B8A2A237B</vt:lpwstr>
  </property>
  <property fmtid="{D5CDD505-2E9C-101B-9397-08002B2CF9AE}" pid="3" name="_dlc_DocIdItemGuid">
    <vt:lpwstr>6873eca7-b374-4c90-ad75-2dc3b441e26f</vt:lpwstr>
  </property>
</Properties>
</file>